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63" windowWidth="4070" windowHeight="4207" tabRatio="768" activeTab="0"/>
  </bookViews>
  <sheets>
    <sheet name="toss coin" sheetId="1" r:id="rId1"/>
    <sheet name="simple sample" sheetId="2" r:id="rId2"/>
    <sheet name="meas. error" sheetId="3" r:id="rId3"/>
    <sheet name="log trans." sheetId="4" r:id="rId4"/>
    <sheet name="meas. error %" sheetId="5" r:id="rId5"/>
    <sheet name="validity" sheetId="6" r:id="rId6"/>
    <sheet name="validity %" sheetId="7" r:id="rId7"/>
    <sheet name="2 groups" sheetId="8" r:id="rId8"/>
    <sheet name="2 groups+pred" sheetId="9" r:id="rId9"/>
    <sheet name="cont. trial" sheetId="10" r:id="rId10"/>
    <sheet name="binary outcome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Reviewer</author>
  </authors>
  <commentList>
    <comment ref="E15" authorId="0">
      <text>
        <r>
          <rPr>
            <sz val="8"/>
            <rFont val="Tahoma"/>
            <family val="2"/>
          </rPr>
          <t xml:space="preserve">One SD of X produces on average a change in Y equal to this correlation times the SD representing the extra variation. </t>
        </r>
      </text>
    </comment>
  </commentList>
</comments>
</file>

<file path=xl/sharedStrings.xml><?xml version="1.0" encoding="utf-8"?>
<sst xmlns="http://schemas.openxmlformats.org/spreadsheetml/2006/main" count="964" uniqueCount="351">
  <si>
    <t>mean</t>
  </si>
  <si>
    <t>n</t>
  </si>
  <si>
    <t>SD</t>
  </si>
  <si>
    <t>Max power (W)</t>
  </si>
  <si>
    <t>Mean</t>
  </si>
  <si>
    <t>Normal dist.</t>
  </si>
  <si>
    <t>Measurement error (%)</t>
  </si>
  <si>
    <t>Change in mean (%)</t>
  </si>
  <si>
    <t>SD (%)</t>
  </si>
  <si>
    <t>True values</t>
  </si>
  <si>
    <t>Trial1</t>
  </si>
  <si>
    <t>Trial2</t>
  </si>
  <si>
    <t>Trial3</t>
  </si>
  <si>
    <t>Trial4</t>
  </si>
  <si>
    <t>Trial5</t>
  </si>
  <si>
    <t>Trial6</t>
  </si>
  <si>
    <t>Observed values</t>
  </si>
  <si>
    <t>Systematic error</t>
  </si>
  <si>
    <t>Trial7</t>
  </si>
  <si>
    <t>Trial8</t>
  </si>
  <si>
    <t>Trial9</t>
  </si>
  <si>
    <t>Trial10</t>
  </si>
  <si>
    <t>Alex</t>
  </si>
  <si>
    <t>Ariel</t>
  </si>
  <si>
    <t>Ashley</t>
  </si>
  <si>
    <t>Bernie</t>
  </si>
  <si>
    <t>Casey</t>
  </si>
  <si>
    <t>Chris</t>
  </si>
  <si>
    <t>Corey</t>
  </si>
  <si>
    <t>Courtney</t>
  </si>
  <si>
    <t>Devon</t>
  </si>
  <si>
    <t>Drew</t>
  </si>
  <si>
    <t>Dylan</t>
  </si>
  <si>
    <t>Frances</t>
  </si>
  <si>
    <t>Gene</t>
  </si>
  <si>
    <t>Jaimie</t>
  </si>
  <si>
    <t>Jean</t>
  </si>
  <si>
    <t>Jesse</t>
  </si>
  <si>
    <t>Jo</t>
  </si>
  <si>
    <t>Jordan</t>
  </si>
  <si>
    <t>Kelly</t>
  </si>
  <si>
    <t>Trial 2-1</t>
  </si>
  <si>
    <t>Jody</t>
  </si>
  <si>
    <t>Analysis via log transformation</t>
  </si>
  <si>
    <t>100*log observed values</t>
  </si>
  <si>
    <t>Kade</t>
  </si>
  <si>
    <t>Kerry</t>
  </si>
  <si>
    <t>Kim</t>
  </si>
  <si>
    <t>Kylie</t>
  </si>
  <si>
    <t>Lauren</t>
  </si>
  <si>
    <t>Lee</t>
  </si>
  <si>
    <t>Leslie</t>
  </si>
  <si>
    <t>Lindsay</t>
  </si>
  <si>
    <t>Morgan</t>
  </si>
  <si>
    <t>Pat</t>
  </si>
  <si>
    <t>Reilly</t>
  </si>
  <si>
    <t>Robin</t>
  </si>
  <si>
    <t>Sage</t>
  </si>
  <si>
    <t>Sam</t>
  </si>
  <si>
    <t>Sidney</t>
  </si>
  <si>
    <t>Terry</t>
  </si>
  <si>
    <t>Tristan</t>
  </si>
  <si>
    <t>Vic</t>
  </si>
  <si>
    <t>Wil</t>
  </si>
  <si>
    <t>Wynn</t>
  </si>
  <si>
    <t>Zane</t>
  </si>
  <si>
    <t>Random error (%)</t>
  </si>
  <si>
    <t>Systematic error (%)</t>
  </si>
  <si>
    <t>Alexis</t>
  </si>
  <si>
    <t>Ari</t>
  </si>
  <si>
    <t>Aubrey</t>
  </si>
  <si>
    <t>August</t>
  </si>
  <si>
    <t>Austin</t>
  </si>
  <si>
    <t>Avery</t>
  </si>
  <si>
    <t>Bailey</t>
  </si>
  <si>
    <t>Blake</t>
  </si>
  <si>
    <t>Cameron</t>
  </si>
  <si>
    <t>Cassidy</t>
  </si>
  <si>
    <t>Cimarron</t>
  </si>
  <si>
    <t>Dakota</t>
  </si>
  <si>
    <t>Dana</t>
  </si>
  <si>
    <t>Drake</t>
  </si>
  <si>
    <t>Francis</t>
  </si>
  <si>
    <t>Hunter</t>
  </si>
  <si>
    <t>Ien</t>
  </si>
  <si>
    <t>Jaime</t>
  </si>
  <si>
    <t>Jene</t>
  </si>
  <si>
    <t>Jessie</t>
  </si>
  <si>
    <t>Kai</t>
  </si>
  <si>
    <t>Leigh</t>
  </si>
  <si>
    <t>Logan</t>
  </si>
  <si>
    <t>Blood (criterion)</t>
  </si>
  <si>
    <t>Saliva (practical)</t>
  </si>
  <si>
    <t>Madison</t>
  </si>
  <si>
    <t>Riley</t>
  </si>
  <si>
    <t>Robyn</t>
  </si>
  <si>
    <t>Rory</t>
  </si>
  <si>
    <t>Sawyer</t>
  </si>
  <si>
    <t>Skylar</t>
  </si>
  <si>
    <t>Taylor</t>
  </si>
  <si>
    <t>etc</t>
  </si>
  <si>
    <t>This spreadsheet illustrates how you can generate a sample of subjects from a population of normally distributed values.</t>
  </si>
  <si>
    <t>(Install the Data Analysis Toolpak via Tools/Add-Ins…/Analysis Toolpak.)</t>
  </si>
  <si>
    <t>Trial 3-2</t>
  </si>
  <si>
    <t>Analysis of raw data</t>
  </si>
  <si>
    <t>Crit</t>
  </si>
  <si>
    <t>Prac</t>
  </si>
  <si>
    <t>Athlete</t>
  </si>
  <si>
    <t>Goniometer (criterion)</t>
  </si>
  <si>
    <t>Video (practical)</t>
  </si>
  <si>
    <t>Sequence:</t>
  </si>
  <si>
    <t>This spreadsheet illustrates use of the RAND() function to generate a random number</t>
  </si>
  <si>
    <t>Random prob.</t>
  </si>
  <si>
    <t>Pop. mean</t>
  </si>
  <si>
    <t>Pop. SD</t>
  </si>
  <si>
    <t>Sample mean</t>
  </si>
  <si>
    <t>Sample SD</t>
  </si>
  <si>
    <t xml:space="preserve">Double-click on some of these cells to check that they all refer to the right cell for the probability value. </t>
  </si>
  <si>
    <t>Sample size</t>
  </si>
  <si>
    <t>Lower CL</t>
  </si>
  <si>
    <t>Upper CL</t>
  </si>
  <si>
    <t>±CL</t>
  </si>
  <si>
    <r>
      <t>´¤¸</t>
    </r>
    <r>
      <rPr>
        <sz val="10"/>
        <rFont val="Arial"/>
        <family val="2"/>
      </rPr>
      <t>CL</t>
    </r>
  </si>
  <si>
    <t>Confidence level (%)</t>
  </si>
  <si>
    <t>Bin</t>
  </si>
  <si>
    <t>More</t>
  </si>
  <si>
    <t>Frequency</t>
  </si>
  <si>
    <t>Bin range</t>
  </si>
  <si>
    <t>Make this histogram of the sample using Tools/Data Analysis/Histogram.</t>
  </si>
  <si>
    <t>You have to redraw it for each new sample; it doesn't update.</t>
  </si>
  <si>
    <t>Trial2-1</t>
  </si>
  <si>
    <t xml:space="preserve">SD </t>
  </si>
  <si>
    <t>3 to 10</t>
  </si>
  <si>
    <t>1 to 10</t>
  </si>
  <si>
    <t>Copy the sample values for Trial 1 and Trial 2 into the reliability spreadsheet xrely.xls for full reliability analysis.</t>
  </si>
  <si>
    <t>Random error (SD)</t>
  </si>
  <si>
    <t>Overall mean</t>
  </si>
  <si>
    <t>Between-subject SD</t>
  </si>
  <si>
    <t>A</t>
  </si>
  <si>
    <t>B</t>
  </si>
  <si>
    <t>A*B</t>
  </si>
  <si>
    <t>ln(A)+ln(B)</t>
  </si>
  <si>
    <t>Post-pre change</t>
  </si>
  <si>
    <r>
      <t xml:space="preserve">In this and subsequent spreadsheets, change numbers in </t>
    </r>
    <r>
      <rPr>
        <sz val="10"/>
        <color indexed="12"/>
        <rFont val="Arial"/>
        <family val="2"/>
      </rPr>
      <t>blue</t>
    </r>
    <r>
      <rPr>
        <sz val="10"/>
        <rFont val="Arial"/>
        <family val="0"/>
      </rPr>
      <t xml:space="preserve"> and watch the outcomes in </t>
    </r>
    <r>
      <rPr>
        <sz val="10"/>
        <color indexed="10"/>
        <rFont val="Arial"/>
        <family val="2"/>
      </rPr>
      <t>red</t>
    </r>
    <r>
      <rPr>
        <sz val="10"/>
        <rFont val="Arial"/>
        <family val="0"/>
      </rPr>
      <t xml:space="preserve">. </t>
    </r>
  </si>
  <si>
    <t>Factor change</t>
  </si>
  <si>
    <t>Percent change</t>
  </si>
  <si>
    <t>Log transformed values</t>
  </si>
  <si>
    <t>ln(A)</t>
  </si>
  <si>
    <t>ln(B)</t>
  </si>
  <si>
    <t>back trans.</t>
  </si>
  <si>
    <t>Pre test</t>
  </si>
  <si>
    <t>Post test</t>
  </si>
  <si>
    <t>back-trans. mean (factor)</t>
  </si>
  <si>
    <t>back-trans. mean (%)</t>
  </si>
  <si>
    <t>mean change of log</t>
  </si>
  <si>
    <t>mean change</t>
  </si>
  <si>
    <t>mean (factor)</t>
  </si>
  <si>
    <t>mean (%)</t>
  </si>
  <si>
    <t>A/B</t>
  </si>
  <si>
    <t>ln(A)-ln(B)</t>
  </si>
  <si>
    <t>Here you can see how logs turn multiplication into addtion (and division into subtraction).</t>
  </si>
  <si>
    <t>A constant factor or percent change produces different post-pre changes but the same post-pre change in the logged values, regardless of the pre value.</t>
  </si>
  <si>
    <t>SD of change</t>
  </si>
  <si>
    <t>Use of 100*LN for the transformation gives the same answer as LN</t>
  </si>
  <si>
    <t>100*log transformed values</t>
  </si>
  <si>
    <t>Max. power (W)</t>
  </si>
  <si>
    <t>Change in mean</t>
  </si>
  <si>
    <t>Measurement error</t>
  </si>
  <si>
    <t>This spreadsheet illustrates how to calculate percent error and percent changes in the mean with logs.</t>
  </si>
  <si>
    <t>Between-subject CV (%)</t>
  </si>
  <si>
    <t>Back-transformed values</t>
  </si>
  <si>
    <t>CV (%)</t>
  </si>
  <si>
    <t>Use of raw data overestimates the mean and underestimates the CV.</t>
  </si>
  <si>
    <r>
      <t xml:space="preserve">Equivalent </t>
    </r>
    <r>
      <rPr>
        <sz val="10"/>
        <rFont val="Symbol"/>
        <family val="1"/>
      </rPr>
      <t>´¤¸</t>
    </r>
    <r>
      <rPr>
        <sz val="10"/>
        <rFont val="Arial"/>
        <family val="0"/>
      </rPr>
      <t xml:space="preserve"> factor SD</t>
    </r>
  </si>
  <si>
    <t>Intercept</t>
  </si>
  <si>
    <t>Slope</t>
  </si>
  <si>
    <t>Standard error of estimate</t>
  </si>
  <si>
    <t>Correlation</t>
  </si>
  <si>
    <t>Population</t>
  </si>
  <si>
    <t>Sample</t>
  </si>
  <si>
    <t>This spreadsheet illustrates the meaning of measurement error and changes in the mean in a reliability study.</t>
  </si>
  <si>
    <t>Example: a joint angle (degrees) measured by goniometry and from video</t>
  </si>
  <si>
    <t>Min Prac value</t>
  </si>
  <si>
    <t>Max Prac value</t>
  </si>
  <si>
    <t>Mean Prac value</t>
  </si>
  <si>
    <t>Pred. Crit</t>
  </si>
  <si>
    <t>mean bias</t>
  </si>
  <si>
    <t>bias at lowest extreme</t>
  </si>
  <si>
    <t>bias at highest extreme</t>
  </si>
  <si>
    <t xml:space="preserve">   Bias (when Prac and Crit in same units)</t>
  </si>
  <si>
    <t>Beware: the Prac and Crit columns are swapped around in the xvalid.xls spreadsheet!</t>
  </si>
  <si>
    <t xml:space="preserve">Slope (index, %/%) </t>
  </si>
  <si>
    <t>Standard error of estimate (%)</t>
  </si>
  <si>
    <t>Log-transformed values</t>
  </si>
  <si>
    <t>Fraction</t>
  </si>
  <si>
    <t>Percent</t>
  </si>
  <si>
    <t>Example: repeated measurements of peak power on a cycle ergometer</t>
  </si>
  <si>
    <t>Intercept (proportionality factor)</t>
  </si>
  <si>
    <t>Paste the raw values, not the log-transformed values, into the validity spreadsheet.</t>
  </si>
  <si>
    <t>Example: a sample of single measurements of peak power on a cycle ergometer</t>
  </si>
  <si>
    <t>Raw values</t>
  </si>
  <si>
    <t xml:space="preserve">Example: power output on a cycle ergometer for a few subjects </t>
  </si>
  <si>
    <t>Example: a hormone concentration measured in saliva and blood</t>
  </si>
  <si>
    <t>Pred</t>
  </si>
  <si>
    <t>Resid</t>
  </si>
  <si>
    <t>Draw the first residual vs predicted plot from scratch,</t>
  </si>
  <si>
    <t xml:space="preserve">because a bug in Excel stops proper auto-scaling of the axes in copied graphs.  </t>
  </si>
  <si>
    <t>You will need to set the scale on some graphs, again owing to bad auto-scaling.</t>
  </si>
  <si>
    <t>This spreadsheet develops the simple-sample spreadsheet into two groups and compares them.</t>
  </si>
  <si>
    <t>Example: peak power of females and males</t>
  </si>
  <si>
    <t>FEMALES</t>
  </si>
  <si>
    <t>MALES</t>
  </si>
  <si>
    <t>p value</t>
  </si>
  <si>
    <t>approx degrees of freedom</t>
  </si>
  <si>
    <t>Difference in means (M-F)</t>
  </si>
  <si>
    <t>Sample correlation</t>
  </si>
  <si>
    <t>Max O2 uptake (L/min)</t>
  </si>
  <si>
    <t>In this spreadsheet a predictor or covariate is added to the previous spreadsheet.</t>
  </si>
  <si>
    <t>This kind of variable would usually require log transformation, so the values should be developed via logs.</t>
  </si>
  <si>
    <t>For simplicity I have generated the raw values directly.</t>
  </si>
  <si>
    <t>Again, for simplicity these variables are generated as raw data, but they should be generated via log transformation.</t>
  </si>
  <si>
    <r>
      <t xml:space="preserve">Use it to answer this question: how different are the groups </t>
    </r>
    <r>
      <rPr>
        <i/>
        <sz val="10"/>
        <rFont val="Arial"/>
        <family val="2"/>
      </rPr>
      <t>after adjustment for the covariate</t>
    </r>
    <r>
      <rPr>
        <sz val="10"/>
        <rFont val="Arial"/>
        <family val="0"/>
      </rPr>
      <t>?</t>
    </r>
  </si>
  <si>
    <t>Predictor</t>
  </si>
  <si>
    <t>Dependent</t>
  </si>
  <si>
    <t>Population mean</t>
  </si>
  <si>
    <t>Population SD</t>
  </si>
  <si>
    <t>Population correlation</t>
  </si>
  <si>
    <t>= min. value of dep</t>
  </si>
  <si>
    <t>= max. value of dep</t>
  </si>
  <si>
    <t xml:space="preserve"> </t>
  </si>
  <si>
    <t xml:space="preserve">  </t>
  </si>
  <si>
    <t>To draw the dotted line:</t>
  </si>
  <si>
    <t>Value of predictor =</t>
  </si>
  <si>
    <t>Raw mean females-males</t>
  </si>
  <si>
    <t>Predicted (adjusted) mean for females</t>
  </si>
  <si>
    <t>Predicted (adjusted) mean for males</t>
  </si>
  <si>
    <t>Adjusted mean females-males</t>
  </si>
  <si>
    <t>Subject</t>
  </si>
  <si>
    <t xml:space="preserve">Jody </t>
  </si>
  <si>
    <t>True Y</t>
  </si>
  <si>
    <t xml:space="preserve"> Ypre1</t>
  </si>
  <si>
    <t>True mean</t>
  </si>
  <si>
    <t>True
SD</t>
  </si>
  <si>
    <t xml:space="preserve"> Ypre2</t>
  </si>
  <si>
    <t>Extra
variation</t>
  </si>
  <si>
    <t>Meas.
Error</t>
  </si>
  <si>
    <t xml:space="preserve"> Ypost1</t>
  </si>
  <si>
    <t>Ypost2</t>
  </si>
  <si>
    <t>X</t>
  </si>
  <si>
    <t xml:space="preserve">True
mean </t>
  </si>
  <si>
    <t>Y</t>
  </si>
  <si>
    <t>Grand mean</t>
  </si>
  <si>
    <t>Grand max</t>
  </si>
  <si>
    <t>Grand min</t>
  </si>
  <si>
    <t>Y post1
-pre2</t>
  </si>
  <si>
    <t>Y post2
-pre2</t>
  </si>
  <si>
    <t>Y pre2-pre1</t>
  </si>
  <si>
    <t>Group</t>
  </si>
  <si>
    <t>Control</t>
  </si>
  <si>
    <t>Exptal</t>
  </si>
  <si>
    <t>Odds @ mean</t>
  </si>
  <si>
    <t>For plotting:</t>
  </si>
  <si>
    <t>Event?
0 or 1</t>
  </si>
  <si>
    <t>Modeled prob.</t>
  </si>
  <si>
    <t>Odds ratio per 2SD of X</t>
  </si>
  <si>
    <r>
      <t xml:space="preserve">Correl. with </t>
    </r>
    <r>
      <rPr>
        <sz val="10"/>
        <rFont val="Symbol"/>
        <family val="1"/>
      </rPr>
      <t></t>
    </r>
    <r>
      <rPr>
        <sz val="10"/>
        <rFont val="Arial"/>
        <family val="0"/>
      </rPr>
      <t>Y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</si>
  <si>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Ypre1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</si>
  <si>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Ypre2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</si>
  <si>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Ypost1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</si>
  <si>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Ypost2</t>
    </r>
  </si>
  <si>
    <t>It allows for changes in the mean with each trial, a different error of measurement with each trial, and extra variation representing individual responses.</t>
  </si>
  <si>
    <t>There is also a covariate representing a subject characteristic that correlates with the extra variation, thereby accounting for the individual responses.</t>
  </si>
  <si>
    <t>The spreadsheet is probably too complex to reproduce.  Use it instead to generate data for further analysis.</t>
  </si>
  <si>
    <t>CONTROL GROUP</t>
  </si>
  <si>
    <t>EXPERIMENTAL GROUP</t>
  </si>
  <si>
    <t>Modeled ln(odds)</t>
  </si>
  <si>
    <t>Grand mean of X</t>
  </si>
  <si>
    <t>RAND():</t>
  </si>
  <si>
    <t>Toss a weird coin:</t>
  </si>
  <si>
    <t>Toss a normal coin:</t>
  </si>
  <si>
    <t>modeled</t>
  </si>
  <si>
    <t>observed</t>
  </si>
  <si>
    <t>?</t>
  </si>
  <si>
    <t>Need logistic regression to estimate!</t>
  </si>
  <si>
    <t>Exptal/Control odds ratios:</t>
  </si>
  <si>
    <t>LCL</t>
  </si>
  <si>
    <t>UCL</t>
  </si>
  <si>
    <t>This spreadsheets generates observations having values of 1 and 0, representing occurrence or non-occurrence of an event (e.g., injury).</t>
  </si>
  <si>
    <t xml:space="preserve">There are two groups with different probabilities of occurrence of the event. </t>
  </si>
  <si>
    <t>The covariate can have different means and SD in the two groups and different effects on the probability of occurrence of the event.</t>
  </si>
  <si>
    <t>The effect of the covariate on probability has to be modeled via the log of the odds of occurrence of the event.</t>
  </si>
  <si>
    <t>This spreadsheet generates a parallel-groups controlled trial with two pre and two post trials.</t>
  </si>
  <si>
    <t>There is no need to copy the above cells down.</t>
  </si>
  <si>
    <t>Females</t>
  </si>
  <si>
    <t>Males</t>
  </si>
  <si>
    <t xml:space="preserve">Histograms to illustrate role of SD in assessing magnitude of difference in means. </t>
  </si>
  <si>
    <t>Because these graphs do not update, the values are different from those shown for the raw data and bar graph.</t>
  </si>
  <si>
    <t>Use the spreadsheet for confidence limits http://newstats.org/xcl.xls to convert the p value to confidence limits.</t>
  </si>
  <si>
    <t>The bar graph is shown for practice and to assess visually the magnitude of the difference.  Usually you would not show a graph for such simple data.</t>
  </si>
  <si>
    <t>The frequency histograms are also shown to assess magnitude. Again, you would not normally show frequency histrograms in a paper.</t>
  </si>
  <si>
    <t>For further analysis, paste the data into the spreadsheet for comparison of two groups http://newstats.org/xCompare2groups.xls.</t>
  </si>
  <si>
    <t>Standardized difference</t>
  </si>
  <si>
    <t>Retest correlation</t>
  </si>
  <si>
    <t>Odds ratio @ grand mean</t>
  </si>
  <si>
    <t>Grand mean for X</t>
  </si>
  <si>
    <t>There is a covariate X representing a subject characteristic that modifies the probability, using a linear model.</t>
  </si>
  <si>
    <t>Prob. @ mean</t>
  </si>
  <si>
    <t>Nett odds ratio per 2SD of X</t>
  </si>
  <si>
    <t>Odds</t>
  </si>
  <si>
    <t>Prob.</t>
  </si>
  <si>
    <t>Cont.</t>
  </si>
  <si>
    <t>Expt.</t>
  </si>
  <si>
    <t>Odds and probs @ grand mean</t>
  </si>
  <si>
    <t>DF1</t>
  </si>
  <si>
    <t>DF2</t>
  </si>
  <si>
    <t>freedom</t>
  </si>
  <si>
    <t>SE1</t>
  </si>
  <si>
    <t>SE2</t>
  </si>
  <si>
    <t>Sample mean difference</t>
  </si>
  <si>
    <t>Population mean diference</t>
  </si>
  <si>
    <t>Deg. of</t>
  </si>
  <si>
    <t>SE1 +</t>
  </si>
  <si>
    <r>
      <t>Update May 2009:</t>
    </r>
    <r>
      <rPr>
        <sz val="10"/>
        <rFont val="Arial"/>
        <family val="0"/>
      </rPr>
      <t xml:space="preserve"> confidence limits for the difference in means now shown. Check that they work by doing repeated sampling.</t>
    </r>
  </si>
  <si>
    <t>± CL</t>
  </si>
  <si>
    <t>Cells used to get CLs:</t>
  </si>
  <si>
    <t xml:space="preserve">These cells show how log transformation is used to analyze changes or differences that are likely to arise from a constant factor or percent effect. </t>
  </si>
  <si>
    <t>Extra work: insert two columns before Column G for two more trials, fill them with data demonstrating full habituation, then analyze with xrely.xls.</t>
  </si>
  <si>
    <t xml:space="preserve">Extra work: demonstrate that the raw mean is different from the back-transformed mean of the log-transformed values. Explain.  </t>
  </si>
  <si>
    <t>Extra work:</t>
  </si>
  <si>
    <t xml:space="preserve">    In the real world, the error usually arises in the practical, so the underlying true linear model is Practical = a + b*Criterion + error. </t>
  </si>
  <si>
    <t xml:space="preserve">    Start with a=0, b=1, and substantial error.  Try to explain your findings.</t>
  </si>
  <si>
    <t xml:space="preserve">    For simplicity, I have added the error to the criterion measure, so you can easily check the agreement between the sample and population statistics.</t>
  </si>
  <si>
    <t xml:space="preserve">    So, create some data with this realistic true model, then analyze (appropriately) with the Criterion as the dependent and the Practical as the predictor.</t>
  </si>
  <si>
    <t>This spreadsheet illustrates the relationship between a practical and criterion variable in a validity study.</t>
  </si>
  <si>
    <t>Copy the sample values into the validity spreadsheet xvalid.xls for a full validity analysis.</t>
  </si>
  <si>
    <t>Scroll down to see the comparison of sample and population validity statistics.</t>
  </si>
  <si>
    <t>This spreadsheet illustrates the relationship between a practical and criterion variable in a validity study requiring log transformation.</t>
  </si>
  <si>
    <t>The data simulate a study of an ergogenic aid in which the improvement in peak power in an incremental test depended on the baseline weekly training of the cyclists.</t>
  </si>
  <si>
    <t>Reference SD (females)</t>
  </si>
  <si>
    <t>Copy the raw data for Trials 1, 2, 3 and 4 into the reliability spreadsheet xrely.xls for practice.</t>
  </si>
  <si>
    <t>Trial 4-3</t>
  </si>
  <si>
    <t>Do the trials in Coumn G and H demonstrate full habituation? Which change scores would tell you?</t>
  </si>
  <si>
    <t>Ypost3</t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</si>
  <si>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Ypost3</t>
    </r>
  </si>
  <si>
    <t>Y post3
-pre2</t>
  </si>
  <si>
    <t xml:space="preserve">See Sportscience for spreadsheets for analysis of controlled trials. </t>
  </si>
  <si>
    <t>True mean (W)</t>
  </si>
  <si>
    <t>True
SD (%)</t>
  </si>
  <si>
    <t>These data are log-transformed.  See below for back-transformed.</t>
  </si>
  <si>
    <t>Extra deltas arising from the SD for extra variation</t>
  </si>
  <si>
    <t>These changes and errors are in 100*log units (approx. %)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</si>
</sst>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"/>
    <numFmt numFmtId="178" formatCode="0.00000000"/>
    <numFmt numFmtId="179" formatCode="0.000000000"/>
    <numFmt numFmtId="180" formatCode="0.0000000000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23"/>
      <name val="Symbol"/>
      <family val="1"/>
    </font>
    <font>
      <b/>
      <sz val="11"/>
      <color indexed="61"/>
      <name val="Arial"/>
      <family val="2"/>
    </font>
    <font>
      <sz val="8"/>
      <name val="Tahoma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sz val="10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6.9"/>
      <color indexed="8"/>
      <name val="Arial"/>
      <family val="2"/>
    </font>
    <font>
      <sz val="7.15"/>
      <color indexed="8"/>
      <name val="Arial"/>
      <family val="2"/>
    </font>
    <font>
      <sz val="8.45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1" fontId="0" fillId="33" borderId="0" xfId="0" applyNumberFormat="1" applyFill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33" borderId="10" xfId="0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40" borderId="0" xfId="0" applyFill="1" applyAlignment="1">
      <alignment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5" borderId="0" xfId="0" applyFill="1" applyAlignment="1">
      <alignment horizontal="center" wrapText="1"/>
    </xf>
    <xf numFmtId="0" fontId="0" fillId="35" borderId="0" xfId="0" applyFill="1" applyAlignment="1">
      <alignment horizontal="center"/>
    </xf>
    <xf numFmtId="2" fontId="0" fillId="35" borderId="0" xfId="0" applyNumberFormat="1" applyFill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2" fontId="0" fillId="36" borderId="0" xfId="0" applyNumberFormat="1" applyFill="1" applyAlignment="1">
      <alignment/>
    </xf>
    <xf numFmtId="177" fontId="0" fillId="37" borderId="0" xfId="0" applyNumberFormat="1" applyFill="1" applyAlignment="1">
      <alignment horizontal="center"/>
    </xf>
    <xf numFmtId="0" fontId="0" fillId="38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39" borderId="0" xfId="0" applyFill="1" applyAlignment="1">
      <alignment horizontal="right"/>
    </xf>
    <xf numFmtId="0" fontId="0" fillId="39" borderId="0" xfId="0" applyFill="1" applyAlignment="1">
      <alignment horizontal="center"/>
    </xf>
    <xf numFmtId="177" fontId="0" fillId="39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0" fontId="10" fillId="4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38" borderId="17" xfId="0" applyFill="1" applyBorder="1" applyAlignment="1">
      <alignment/>
    </xf>
    <xf numFmtId="0" fontId="0" fillId="40" borderId="0" xfId="0" applyFill="1" applyAlignment="1">
      <alignment horizontal="right"/>
    </xf>
    <xf numFmtId="0" fontId="0" fillId="34" borderId="0" xfId="0" applyFill="1" applyAlignment="1">
      <alignment horizontal="right"/>
    </xf>
    <xf numFmtId="2" fontId="0" fillId="35" borderId="0" xfId="0" applyNumberFormat="1" applyFill="1" applyAlignment="1">
      <alignment/>
    </xf>
    <xf numFmtId="1" fontId="0" fillId="35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6" borderId="0" xfId="0" applyFill="1" applyAlignment="1">
      <alignment horizontal="center" wrapText="1"/>
    </xf>
    <xf numFmtId="0" fontId="0" fillId="36" borderId="0" xfId="0" applyFill="1" applyAlignment="1">
      <alignment horizontal="center"/>
    </xf>
    <xf numFmtId="1" fontId="0" fillId="36" borderId="0" xfId="0" applyNumberFormat="1" applyFill="1" applyAlignment="1">
      <alignment horizontal="center"/>
    </xf>
    <xf numFmtId="0" fontId="0" fillId="37" borderId="0" xfId="0" applyFill="1" applyAlignment="1">
      <alignment horizontal="center" wrapText="1"/>
    </xf>
    <xf numFmtId="0" fontId="0" fillId="37" borderId="0" xfId="0" applyFill="1" applyAlignment="1">
      <alignment horizontal="center"/>
    </xf>
    <xf numFmtId="1" fontId="0" fillId="37" borderId="0" xfId="0" applyNumberFormat="1" applyFill="1" applyAlignment="1">
      <alignment horizontal="center"/>
    </xf>
    <xf numFmtId="1" fontId="0" fillId="39" borderId="0" xfId="0" applyNumberFormat="1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177" fontId="9" fillId="39" borderId="0" xfId="0" applyNumberFormat="1" applyFont="1" applyFill="1" applyAlignment="1">
      <alignment horizontal="center"/>
    </xf>
    <xf numFmtId="0" fontId="9" fillId="39" borderId="0" xfId="0" applyFont="1" applyFill="1" applyAlignment="1">
      <alignment horizontal="center"/>
    </xf>
    <xf numFmtId="177" fontId="9" fillId="40" borderId="0" xfId="0" applyNumberFormat="1" applyFont="1" applyFill="1" applyAlignment="1">
      <alignment horizontal="center"/>
    </xf>
    <xf numFmtId="0" fontId="9" fillId="40" borderId="0" xfId="0" applyFont="1" applyFill="1" applyAlignment="1">
      <alignment/>
    </xf>
    <xf numFmtId="177" fontId="9" fillId="40" borderId="0" xfId="0" applyNumberFormat="1" applyFont="1" applyFill="1" applyBorder="1" applyAlignment="1">
      <alignment horizontal="center"/>
    </xf>
    <xf numFmtId="2" fontId="9" fillId="40" borderId="0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177" fontId="9" fillId="38" borderId="0" xfId="0" applyNumberFormat="1" applyFont="1" applyFill="1" applyAlignment="1">
      <alignment horizontal="center"/>
    </xf>
    <xf numFmtId="1" fontId="9" fillId="40" borderId="0" xfId="0" applyNumberFormat="1" applyFont="1" applyFill="1" applyAlignment="1">
      <alignment horizontal="center"/>
    </xf>
    <xf numFmtId="177" fontId="0" fillId="38" borderId="0" xfId="0" applyNumberFormat="1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0" fillId="36" borderId="0" xfId="0" applyFill="1" applyAlignment="1">
      <alignment horizontal="right"/>
    </xf>
    <xf numFmtId="0" fontId="9" fillId="36" borderId="0" xfId="0" applyFont="1" applyFill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9" fillId="36" borderId="0" xfId="0" applyNumberFormat="1" applyFont="1" applyFill="1" applyAlignment="1">
      <alignment horizontal="center"/>
    </xf>
    <xf numFmtId="0" fontId="0" fillId="37" borderId="10" xfId="0" applyFill="1" applyBorder="1" applyAlignment="1">
      <alignment horizontal="center" wrapText="1"/>
    </xf>
    <xf numFmtId="173" fontId="0" fillId="37" borderId="0" xfId="0" applyNumberFormat="1" applyFill="1" applyAlignment="1">
      <alignment horizontal="center"/>
    </xf>
    <xf numFmtId="0" fontId="0" fillId="37" borderId="0" xfId="0" applyFill="1" applyAlignment="1">
      <alignment horizontal="right"/>
    </xf>
    <xf numFmtId="173" fontId="9" fillId="37" borderId="0" xfId="0" applyNumberFormat="1" applyFont="1" applyFill="1" applyAlignment="1">
      <alignment horizontal="center"/>
    </xf>
    <xf numFmtId="0" fontId="9" fillId="37" borderId="0" xfId="0" applyFont="1" applyFill="1" applyAlignment="1">
      <alignment horizontal="center"/>
    </xf>
    <xf numFmtId="0" fontId="0" fillId="38" borderId="10" xfId="0" applyFill="1" applyBorder="1" applyAlignment="1">
      <alignment horizontal="center" wrapText="1"/>
    </xf>
    <xf numFmtId="173" fontId="0" fillId="38" borderId="0" xfId="0" applyNumberFormat="1" applyFill="1" applyAlignment="1">
      <alignment horizontal="center"/>
    </xf>
    <xf numFmtId="0" fontId="0" fillId="38" borderId="0" xfId="0" applyFill="1" applyAlignment="1">
      <alignment horizontal="right"/>
    </xf>
    <xf numFmtId="173" fontId="9" fillId="38" borderId="0" xfId="0" applyNumberFormat="1" applyFont="1" applyFill="1" applyAlignment="1">
      <alignment horizontal="center"/>
    </xf>
    <xf numFmtId="0" fontId="9" fillId="38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5" fillId="37" borderId="0" xfId="0" applyFont="1" applyFill="1" applyAlignment="1">
      <alignment horizontal="left"/>
    </xf>
    <xf numFmtId="0" fontId="0" fillId="37" borderId="0" xfId="0" applyFill="1" applyAlignment="1">
      <alignment horizontal="left"/>
    </xf>
    <xf numFmtId="0" fontId="0" fillId="38" borderId="0" xfId="0" applyFill="1" applyAlignment="1">
      <alignment horizontal="center" wrapText="1"/>
    </xf>
    <xf numFmtId="177" fontId="0" fillId="38" borderId="0" xfId="0" applyNumberFormat="1" applyFill="1" applyAlignment="1">
      <alignment horizontal="center"/>
    </xf>
    <xf numFmtId="177" fontId="0" fillId="40" borderId="0" xfId="0" applyNumberFormat="1" applyFill="1" applyAlignment="1">
      <alignment horizontal="center"/>
    </xf>
    <xf numFmtId="177" fontId="9" fillId="40" borderId="0" xfId="0" applyNumberFormat="1" applyFont="1" applyFill="1" applyAlignment="1">
      <alignment horizontal="center"/>
    </xf>
    <xf numFmtId="1" fontId="0" fillId="40" borderId="0" xfId="0" applyNumberFormat="1" applyFill="1" applyAlignment="1">
      <alignment horizontal="center"/>
    </xf>
    <xf numFmtId="0" fontId="0" fillId="34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177" fontId="5" fillId="0" borderId="0" xfId="0" applyNumberFormat="1" applyFont="1" applyAlignment="1">
      <alignment horizontal="left"/>
    </xf>
    <xf numFmtId="177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41" borderId="0" xfId="0" applyFill="1" applyAlignment="1">
      <alignment horizontal="right"/>
    </xf>
    <xf numFmtId="177" fontId="0" fillId="41" borderId="0" xfId="0" applyNumberFormat="1" applyFill="1" applyAlignment="1">
      <alignment horizontal="center"/>
    </xf>
    <xf numFmtId="0" fontId="0" fillId="41" borderId="0" xfId="0" applyFill="1" applyAlignment="1">
      <alignment/>
    </xf>
    <xf numFmtId="2" fontId="0" fillId="41" borderId="0" xfId="0" applyNumberFormat="1" applyFill="1" applyAlignment="1">
      <alignment horizontal="right"/>
    </xf>
    <xf numFmtId="177" fontId="0" fillId="41" borderId="0" xfId="0" applyNumberFormat="1" applyFont="1" applyFill="1" applyAlignment="1">
      <alignment horizontal="center"/>
    </xf>
    <xf numFmtId="2" fontId="0" fillId="0" borderId="0" xfId="0" applyNumberFormat="1" applyAlignment="1">
      <alignment horizontal="right"/>
    </xf>
    <xf numFmtId="0" fontId="0" fillId="35" borderId="0" xfId="0" applyFill="1" applyAlignment="1">
      <alignment horizontal="right"/>
    </xf>
    <xf numFmtId="2" fontId="9" fillId="40" borderId="0" xfId="0" applyNumberFormat="1" applyFont="1" applyFill="1" applyAlignment="1">
      <alignment horizontal="center"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 horizontal="center" wrapText="1"/>
    </xf>
    <xf numFmtId="1" fontId="0" fillId="34" borderId="0" xfId="0" applyNumberFormat="1" applyFill="1" applyAlignment="1">
      <alignment horizontal="center"/>
    </xf>
    <xf numFmtId="2" fontId="0" fillId="37" borderId="0" xfId="0" applyNumberFormat="1" applyFill="1" applyAlignment="1">
      <alignment horizontal="right"/>
    </xf>
    <xf numFmtId="0" fontId="0" fillId="38" borderId="0" xfId="0" applyNumberFormat="1" applyFill="1" applyAlignment="1">
      <alignment horizontal="center"/>
    </xf>
    <xf numFmtId="2" fontId="9" fillId="38" borderId="0" xfId="0" applyNumberFormat="1" applyFont="1" applyFill="1" applyAlignment="1">
      <alignment horizontal="center"/>
    </xf>
    <xf numFmtId="2" fontId="0" fillId="38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0" fillId="40" borderId="0" xfId="0" applyFill="1" applyAlignment="1">
      <alignment horizontal="left"/>
    </xf>
    <xf numFmtId="2" fontId="0" fillId="38" borderId="10" xfId="0" applyNumberFormat="1" applyFill="1" applyBorder="1" applyAlignment="1">
      <alignment horizontal="center"/>
    </xf>
    <xf numFmtId="1" fontId="0" fillId="38" borderId="10" xfId="0" applyNumberFormat="1" applyFill="1" applyBorder="1" applyAlignment="1">
      <alignment horizontal="center"/>
    </xf>
    <xf numFmtId="2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 horizontal="right"/>
    </xf>
    <xf numFmtId="2" fontId="0" fillId="39" borderId="10" xfId="0" applyNumberFormat="1" applyFill="1" applyBorder="1" applyAlignment="1">
      <alignment horizontal="left"/>
    </xf>
    <xf numFmtId="0" fontId="0" fillId="39" borderId="10" xfId="0" applyFill="1" applyBorder="1" applyAlignment="1">
      <alignment/>
    </xf>
    <xf numFmtId="2" fontId="0" fillId="36" borderId="0" xfId="0" applyNumberFormat="1" applyFill="1" applyAlignment="1">
      <alignment horizontal="right"/>
    </xf>
    <xf numFmtId="177" fontId="0" fillId="36" borderId="0" xfId="0" applyNumberFormat="1" applyFill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39" borderId="21" xfId="0" applyFill="1" applyBorder="1" applyAlignment="1">
      <alignment/>
    </xf>
    <xf numFmtId="2" fontId="9" fillId="39" borderId="0" xfId="0" applyNumberFormat="1" applyFont="1" applyFill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77" fontId="0" fillId="0" borderId="18" xfId="0" applyNumberFormat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77" fontId="0" fillId="0" borderId="20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34" borderId="0" xfId="0" applyFont="1" applyFill="1" applyAlignment="1">
      <alignment horizontal="left"/>
    </xf>
    <xf numFmtId="2" fontId="0" fillId="34" borderId="0" xfId="0" applyNumberFormat="1" applyFill="1" applyAlignment="1">
      <alignment/>
    </xf>
    <xf numFmtId="177" fontId="0" fillId="34" borderId="0" xfId="0" applyNumberFormat="1" applyFill="1" applyAlignment="1">
      <alignment horizontal="center"/>
    </xf>
    <xf numFmtId="177" fontId="0" fillId="35" borderId="0" xfId="0" applyNumberFormat="1" applyFill="1" applyAlignment="1">
      <alignment horizontal="center"/>
    </xf>
    <xf numFmtId="2" fontId="4" fillId="34" borderId="0" xfId="0" applyNumberFormat="1" applyFont="1" applyFill="1" applyAlignment="1">
      <alignment horizontal="center"/>
    </xf>
    <xf numFmtId="177" fontId="9" fillId="33" borderId="0" xfId="0" applyNumberFormat="1" applyFont="1" applyFill="1" applyAlignment="1">
      <alignment horizontal="center"/>
    </xf>
    <xf numFmtId="2" fontId="9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2" fontId="4" fillId="36" borderId="0" xfId="0" applyNumberFormat="1" applyFont="1" applyFill="1" applyAlignment="1">
      <alignment horizontal="center"/>
    </xf>
    <xf numFmtId="177" fontId="9" fillId="37" borderId="0" xfId="0" applyNumberFormat="1" applyFont="1" applyFill="1" applyAlignment="1">
      <alignment horizontal="center"/>
    </xf>
    <xf numFmtId="0" fontId="4" fillId="40" borderId="0" xfId="0" applyFont="1" applyFill="1" applyAlignment="1">
      <alignment horizontal="left"/>
    </xf>
    <xf numFmtId="177" fontId="0" fillId="40" borderId="0" xfId="0" applyNumberFormat="1" applyFill="1" applyAlignment="1">
      <alignment/>
    </xf>
    <xf numFmtId="0" fontId="0" fillId="40" borderId="0" xfId="0" applyFill="1" applyAlignment="1" quotePrefix="1">
      <alignment/>
    </xf>
    <xf numFmtId="0" fontId="0" fillId="0" borderId="0" xfId="0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right"/>
    </xf>
    <xf numFmtId="0" fontId="0" fillId="34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4" borderId="0" xfId="0" applyFont="1" applyFill="1" applyAlignment="1">
      <alignment horizontal="right"/>
    </xf>
    <xf numFmtId="0" fontId="0" fillId="35" borderId="0" xfId="0" applyFont="1" applyFill="1" applyAlignment="1">
      <alignment horizontal="right"/>
    </xf>
    <xf numFmtId="0" fontId="4" fillId="3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35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36" borderId="0" xfId="0" applyFont="1" applyFill="1" applyAlignment="1">
      <alignment horizontal="right"/>
    </xf>
    <xf numFmtId="177" fontId="0" fillId="36" borderId="0" xfId="0" applyNumberFormat="1" applyFont="1" applyFill="1" applyAlignment="1">
      <alignment horizontal="center"/>
    </xf>
    <xf numFmtId="2" fontId="0" fillId="36" borderId="0" xfId="0" applyNumberFormat="1" applyFont="1" applyFill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177" fontId="0" fillId="34" borderId="0" xfId="0" applyNumberFormat="1" applyFont="1" applyFill="1" applyAlignment="1">
      <alignment horizontal="center"/>
    </xf>
    <xf numFmtId="177" fontId="0" fillId="35" borderId="0" xfId="0" applyNumberFormat="1" applyFont="1" applyFill="1" applyAlignment="1">
      <alignment horizontal="center"/>
    </xf>
    <xf numFmtId="2" fontId="0" fillId="35" borderId="0" xfId="0" applyNumberFormat="1" applyFont="1" applyFill="1" applyAlignment="1">
      <alignment horizontal="center"/>
    </xf>
    <xf numFmtId="1" fontId="0" fillId="35" borderId="0" xfId="0" applyNumberFormat="1" applyFont="1" applyFill="1" applyAlignment="1">
      <alignment horizontal="center"/>
    </xf>
    <xf numFmtId="177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6" borderId="0" xfId="0" applyFont="1" applyFill="1" applyBorder="1" applyAlignment="1">
      <alignment horizontal="right"/>
    </xf>
    <xf numFmtId="0" fontId="0" fillId="36" borderId="0" xfId="0" applyFont="1" applyFill="1" applyBorder="1" applyAlignment="1">
      <alignment horizontal="center"/>
    </xf>
    <xf numFmtId="0" fontId="0" fillId="37" borderId="0" xfId="0" applyFont="1" applyFill="1" applyAlignment="1">
      <alignment horizontal="right"/>
    </xf>
    <xf numFmtId="0" fontId="0" fillId="37" borderId="0" xfId="0" applyFont="1" applyFill="1" applyBorder="1" applyAlignment="1">
      <alignment horizontal="center" wrapText="1"/>
    </xf>
    <xf numFmtId="0" fontId="4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0" fontId="0" fillId="37" borderId="10" xfId="0" applyFont="1" applyFill="1" applyBorder="1" applyAlignment="1">
      <alignment horizontal="center"/>
    </xf>
    <xf numFmtId="177" fontId="0" fillId="37" borderId="0" xfId="0" applyNumberFormat="1" applyFont="1" applyFill="1" applyAlignment="1">
      <alignment horizontal="center"/>
    </xf>
    <xf numFmtId="0" fontId="0" fillId="38" borderId="10" xfId="0" applyFont="1" applyFill="1" applyBorder="1" applyAlignment="1">
      <alignment horizontal="center" wrapText="1"/>
    </xf>
    <xf numFmtId="177" fontId="0" fillId="38" borderId="0" xfId="0" applyNumberFormat="1" applyFont="1" applyFill="1" applyAlignment="1">
      <alignment horizontal="center"/>
    </xf>
    <xf numFmtId="2" fontId="0" fillId="38" borderId="0" xfId="0" applyNumberFormat="1" applyFont="1" applyFill="1" applyAlignment="1">
      <alignment horizontal="center"/>
    </xf>
    <xf numFmtId="1" fontId="0" fillId="38" borderId="0" xfId="0" applyNumberFormat="1" applyFont="1" applyFill="1" applyAlignment="1">
      <alignment horizontal="center"/>
    </xf>
    <xf numFmtId="0" fontId="0" fillId="39" borderId="0" xfId="0" applyFont="1" applyFill="1" applyBorder="1" applyAlignment="1">
      <alignment horizontal="right"/>
    </xf>
    <xf numFmtId="0" fontId="0" fillId="39" borderId="0" xfId="0" applyFont="1" applyFill="1" applyBorder="1" applyAlignment="1">
      <alignment horizontal="center"/>
    </xf>
    <xf numFmtId="0" fontId="0" fillId="39" borderId="0" xfId="0" applyFont="1" applyFill="1" applyAlignment="1">
      <alignment horizontal="right"/>
    </xf>
    <xf numFmtId="177" fontId="0" fillId="39" borderId="0" xfId="0" applyNumberFormat="1" applyFont="1" applyFill="1" applyAlignment="1">
      <alignment horizontal="center"/>
    </xf>
    <xf numFmtId="2" fontId="0" fillId="39" borderId="0" xfId="0" applyNumberFormat="1" applyFont="1" applyFill="1" applyAlignment="1">
      <alignment horizontal="center"/>
    </xf>
    <xf numFmtId="0" fontId="0" fillId="40" borderId="0" xfId="0" applyFont="1" applyFill="1" applyAlignment="1">
      <alignment horizontal="right"/>
    </xf>
    <xf numFmtId="177" fontId="0" fillId="40" borderId="0" xfId="0" applyNumberFormat="1" applyFont="1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40" borderId="0" xfId="0" applyFont="1" applyFill="1" applyAlignment="1">
      <alignment horizontal="right"/>
    </xf>
    <xf numFmtId="177" fontId="0" fillId="40" borderId="0" xfId="0" applyNumberFormat="1" applyFont="1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39" borderId="0" xfId="0" applyFill="1" applyAlignment="1">
      <alignment horizontal="left"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center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177" fontId="9" fillId="39" borderId="0" xfId="0" applyNumberFormat="1" applyFont="1" applyFill="1" applyAlignment="1">
      <alignment horizontal="center"/>
    </xf>
    <xf numFmtId="0" fontId="0" fillId="39" borderId="0" xfId="0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34" borderId="13" xfId="0" applyFont="1" applyFill="1" applyBorder="1" applyAlignment="1">
      <alignment horizontal="center" wrapText="1"/>
    </xf>
    <xf numFmtId="0" fontId="0" fillId="34" borderId="24" xfId="0" applyFill="1" applyBorder="1" applyAlignment="1">
      <alignment horizontal="center" wrapText="1"/>
    </xf>
    <xf numFmtId="0" fontId="12" fillId="34" borderId="25" xfId="0" applyFont="1" applyFill="1" applyBorder="1" applyAlignment="1">
      <alignment horizontal="center"/>
    </xf>
    <xf numFmtId="0" fontId="13" fillId="34" borderId="25" xfId="0" applyFont="1" applyFill="1" applyBorder="1" applyAlignment="1">
      <alignment horizontal="center"/>
    </xf>
    <xf numFmtId="0" fontId="0" fillId="34" borderId="0" xfId="0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5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left"/>
    </xf>
    <xf numFmtId="177" fontId="15" fillId="35" borderId="0" xfId="0" applyNumberFormat="1" applyFont="1" applyFill="1" applyAlignment="1">
      <alignment horizontal="center"/>
    </xf>
    <xf numFmtId="0" fontId="15" fillId="33" borderId="10" xfId="0" applyFont="1" applyFill="1" applyBorder="1" applyAlignment="1">
      <alignment horizontal="center" wrapText="1"/>
    </xf>
    <xf numFmtId="177" fontId="15" fillId="33" borderId="0" xfId="0" applyNumberFormat="1" applyFont="1" applyFill="1" applyAlignment="1">
      <alignment horizontal="center"/>
    </xf>
    <xf numFmtId="0" fontId="0" fillId="38" borderId="13" xfId="0" applyFont="1" applyFill="1" applyBorder="1" applyAlignment="1">
      <alignment horizontal="center" wrapText="1"/>
    </xf>
    <xf numFmtId="0" fontId="0" fillId="38" borderId="24" xfId="0" applyFill="1" applyBorder="1" applyAlignment="1">
      <alignment horizontal="center" wrapText="1"/>
    </xf>
    <xf numFmtId="0" fontId="17" fillId="38" borderId="25" xfId="0" applyFont="1" applyFill="1" applyBorder="1" applyAlignment="1">
      <alignment horizontal="center"/>
    </xf>
    <xf numFmtId="0" fontId="12" fillId="38" borderId="25" xfId="0" applyFont="1" applyFill="1" applyBorder="1" applyAlignment="1">
      <alignment horizontal="center"/>
    </xf>
    <xf numFmtId="0" fontId="0" fillId="38" borderId="0" xfId="0" applyFill="1" applyBorder="1" applyAlignment="1">
      <alignment horizontal="center" wrapText="1"/>
    </xf>
    <xf numFmtId="0" fontId="12" fillId="38" borderId="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177" fontId="15" fillId="38" borderId="0" xfId="0" applyNumberFormat="1" applyFont="1" applyFill="1" applyAlignment="1">
      <alignment horizontal="center"/>
    </xf>
    <xf numFmtId="0" fontId="15" fillId="38" borderId="10" xfId="0" applyFont="1" applyFill="1" applyBorder="1" applyAlignment="1">
      <alignment horizontal="center" wrapText="1"/>
    </xf>
    <xf numFmtId="177" fontId="15" fillId="39" borderId="0" xfId="0" applyNumberFormat="1" applyFont="1" applyFill="1" applyAlignment="1">
      <alignment horizontal="center"/>
    </xf>
    <xf numFmtId="0" fontId="0" fillId="40" borderId="0" xfId="0" applyFill="1" applyBorder="1" applyAlignment="1">
      <alignment/>
    </xf>
    <xf numFmtId="177" fontId="0" fillId="38" borderId="0" xfId="0" applyNumberFormat="1" applyFill="1" applyAlignment="1">
      <alignment/>
    </xf>
    <xf numFmtId="0" fontId="9" fillId="39" borderId="0" xfId="0" applyNumberFormat="1" applyFont="1" applyFill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right"/>
    </xf>
    <xf numFmtId="2" fontId="0" fillId="39" borderId="0" xfId="0" applyNumberFormat="1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0" fontId="0" fillId="40" borderId="0" xfId="0" applyFont="1" applyFill="1" applyAlignment="1">
      <alignment/>
    </xf>
    <xf numFmtId="0" fontId="0" fillId="40" borderId="14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20" xfId="0" applyFill="1" applyBorder="1" applyAlignment="1">
      <alignment/>
    </xf>
    <xf numFmtId="0" fontId="0" fillId="42" borderId="22" xfId="0" applyFill="1" applyBorder="1" applyAlignment="1">
      <alignment/>
    </xf>
    <xf numFmtId="0" fontId="0" fillId="42" borderId="21" xfId="0" applyFont="1" applyFill="1" applyBorder="1" applyAlignment="1">
      <alignment/>
    </xf>
    <xf numFmtId="0" fontId="0" fillId="42" borderId="21" xfId="0" applyFont="1" applyFill="1" applyBorder="1" applyAlignment="1">
      <alignment horizontal="right"/>
    </xf>
    <xf numFmtId="0" fontId="9" fillId="42" borderId="23" xfId="0" applyFont="1" applyFill="1" applyBorder="1" applyAlignment="1">
      <alignment horizontal="center"/>
    </xf>
    <xf numFmtId="0" fontId="0" fillId="42" borderId="15" xfId="0" applyFont="1" applyFill="1" applyBorder="1" applyAlignment="1">
      <alignment horizontal="right"/>
    </xf>
    <xf numFmtId="177" fontId="9" fillId="42" borderId="16" xfId="0" applyNumberFormat="1" applyFont="1" applyFill="1" applyBorder="1" applyAlignment="1">
      <alignment horizontal="center"/>
    </xf>
    <xf numFmtId="0" fontId="4" fillId="42" borderId="23" xfId="0" applyFont="1" applyFill="1" applyBorder="1" applyAlignment="1">
      <alignment horizontal="center"/>
    </xf>
    <xf numFmtId="0" fontId="0" fillId="42" borderId="19" xfId="0" applyFont="1" applyFill="1" applyBorder="1" applyAlignment="1">
      <alignment horizontal="right"/>
    </xf>
    <xf numFmtId="177" fontId="9" fillId="42" borderId="20" xfId="0" applyNumberFormat="1" applyFont="1" applyFill="1" applyBorder="1" applyAlignment="1">
      <alignment horizontal="center"/>
    </xf>
    <xf numFmtId="0" fontId="0" fillId="42" borderId="22" xfId="0" applyFont="1" applyFill="1" applyBorder="1" applyAlignment="1">
      <alignment horizontal="right"/>
    </xf>
    <xf numFmtId="177" fontId="9" fillId="42" borderId="23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40" borderId="24" xfId="0" applyFont="1" applyFill="1" applyBorder="1" applyAlignment="1">
      <alignment horizontal="center"/>
    </xf>
    <xf numFmtId="0" fontId="0" fillId="40" borderId="24" xfId="0" applyFont="1" applyFill="1" applyBorder="1" applyAlignment="1">
      <alignment horizontal="center" wrapText="1"/>
    </xf>
    <xf numFmtId="0" fontId="0" fillId="40" borderId="13" xfId="0" applyFont="1" applyFill="1" applyBorder="1" applyAlignment="1">
      <alignment horizontal="center"/>
    </xf>
    <xf numFmtId="0" fontId="0" fillId="40" borderId="25" xfId="0" applyFont="1" applyFill="1" applyBorder="1" applyAlignment="1">
      <alignment horizontal="center" wrapText="1"/>
    </xf>
    <xf numFmtId="1" fontId="0" fillId="40" borderId="25" xfId="0" applyNumberFormat="1" applyFont="1" applyFill="1" applyBorder="1" applyAlignment="1">
      <alignment horizontal="center"/>
    </xf>
    <xf numFmtId="177" fontId="0" fillId="40" borderId="13" xfId="0" applyNumberFormat="1" applyFont="1" applyFill="1" applyBorder="1" applyAlignment="1">
      <alignment horizontal="center"/>
    </xf>
    <xf numFmtId="1" fontId="0" fillId="4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9" borderId="0" xfId="0" applyFont="1" applyFill="1" applyAlignment="1">
      <alignment horizontal="center"/>
    </xf>
    <xf numFmtId="0" fontId="0" fillId="34" borderId="13" xfId="0" applyFont="1" applyFill="1" applyBorder="1" applyAlignment="1">
      <alignment horizontal="center" wrapText="1"/>
    </xf>
    <xf numFmtId="0" fontId="0" fillId="38" borderId="13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34" borderId="24" xfId="0" applyFont="1" applyFill="1" applyBorder="1" applyAlignment="1">
      <alignment horizontal="center" wrapText="1"/>
    </xf>
    <xf numFmtId="0" fontId="20" fillId="34" borderId="25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05"/>
          <c:w val="0.947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'simple sample'!$I$17:$I$28</c:f>
              <c:strCache/>
            </c:strRef>
          </c:cat>
          <c:val>
            <c:numRef>
              <c:f>'simple sample'!$J$17:$J$28</c:f>
              <c:numCache/>
            </c:numRef>
          </c:val>
        </c:ser>
        <c:axId val="17804250"/>
        <c:axId val="26020523"/>
      </c:barChart>
      <c:catAx>
        <c:axId val="1780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20523"/>
        <c:crosses val="autoZero"/>
        <c:auto val="1"/>
        <c:lblOffset val="100"/>
        <c:tickLblSkip val="2"/>
        <c:noMultiLvlLbl val="0"/>
      </c:catAx>
      <c:valAx>
        <c:axId val="26020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4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665"/>
          <c:w val="0.64025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groups'!$K$44:$K$57</c:f>
              <c:strCache/>
            </c:strRef>
          </c:cat>
          <c:val>
            <c:numRef>
              <c:f>'2 groups'!$L$44:$L$57</c:f>
              <c:numCache/>
            </c:numRef>
          </c:val>
        </c:ser>
        <c:axId val="44179924"/>
        <c:axId val="62074997"/>
      </c:barChart>
      <c:catAx>
        <c:axId val="44179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74997"/>
        <c:crosses val="autoZero"/>
        <c:auto val="1"/>
        <c:lblOffset val="100"/>
        <c:tickLblSkip val="2"/>
        <c:noMultiLvlLbl val="0"/>
      </c:catAx>
      <c:valAx>
        <c:axId val="62074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179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4315"/>
          <c:w val="0.215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25"/>
          <c:y val="0.01175"/>
          <c:w val="0.859"/>
          <c:h val="0.91075"/>
        </c:manualLayout>
      </c:layout>
      <c:scatterChart>
        <c:scatterStyle val="lineMarker"/>
        <c:varyColors val="0"/>
        <c:ser>
          <c:idx val="1"/>
          <c:order val="0"/>
          <c:tx>
            <c:v>Females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'2 groups+pred'!$E$19:$E$56</c:f>
              <c:numCache/>
            </c:numRef>
          </c:xVal>
          <c:yVal>
            <c:numRef>
              <c:f>'2 groups+pred'!$F$19:$F$56</c:f>
              <c:numCache/>
            </c:numRef>
          </c:yVal>
          <c:smooth val="0"/>
        </c:ser>
        <c:ser>
          <c:idx val="0"/>
          <c:order val="1"/>
          <c:tx>
            <c:v>Males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'2 groups+pred'!$I$19:$I$50</c:f>
              <c:numCache/>
            </c:numRef>
          </c:xVal>
          <c:yVal>
            <c:numRef>
              <c:f>'2 groups+pred'!$J$19:$J$50</c:f>
              <c:numCache/>
            </c:numRef>
          </c:yVal>
          <c:smooth val="0"/>
        </c:ser>
        <c:ser>
          <c:idx val="2"/>
          <c:order val="2"/>
          <c:tx>
            <c:v>Value of predictor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groups+pred'!$N$12:$N$13</c:f>
              <c:numCache/>
            </c:numRef>
          </c:xVal>
          <c:yVal>
            <c:numRef>
              <c:f>'2 groups+pred'!$O$12:$O$13</c:f>
              <c:numCache/>
            </c:numRef>
          </c:yVal>
          <c:smooth val="0"/>
        </c:ser>
        <c:axId val="21804062"/>
        <c:axId val="62018831"/>
      </c:scatterChart>
      <c:valAx>
        <c:axId val="21804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Max O2 uptake (L/min)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18831"/>
        <c:crosses val="autoZero"/>
        <c:crossBetween val="midCat"/>
        <c:dispUnits/>
      </c:valAx>
      <c:valAx>
        <c:axId val="620188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Max
power
(W)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040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75"/>
          <c:y val="0.00325"/>
          <c:w val="0.42825"/>
          <c:h val="0.1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99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pre2-pre1 vs X</a:t>
            </a:r>
          </a:p>
        </c:rich>
      </c:tx>
      <c:layout>
        <c:manualLayout>
          <c:xMode val="factor"/>
          <c:yMode val="factor"/>
          <c:x val="-0.29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6775"/>
          <c:w val="0.91825"/>
          <c:h val="0.6482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'cont. trial'!$E$20:$E$39</c:f>
              <c:numCache/>
            </c:numRef>
          </c:xVal>
          <c:yVal>
            <c:numRef>
              <c:f>'cont. trial'!$M$20:$M$39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'cont. trial'!$E$52:$E$71</c:f>
              <c:numCache/>
            </c:numRef>
          </c:xVal>
          <c:yVal>
            <c:numRef>
              <c:f>'cont. trial'!$M$52:$M$71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'cont. trial'!$E$76:$E$77</c:f>
              <c:numCache/>
            </c:numRef>
          </c:xVal>
          <c:yVal>
            <c:numRef>
              <c:f>'cont. trial'!$M$76:$M$77</c:f>
              <c:numCache/>
            </c:numRef>
          </c:yVal>
          <c:smooth val="0"/>
        </c:ser>
        <c:axId val="21298568"/>
        <c:axId val="57469385"/>
      </c:scatterChart>
      <c:valAx>
        <c:axId val="21298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2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69385"/>
        <c:crosses val="autoZero"/>
        <c:crossBetween val="midCat"/>
        <c:dispUnits/>
      </c:valAx>
      <c:valAx>
        <c:axId val="57469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85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85"/>
          <c:y val="0.69575"/>
          <c:w val="0.47225"/>
          <c:h val="0.3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post2-pre2 vs X</a:t>
            </a:r>
          </a:p>
        </c:rich>
      </c:tx>
      <c:layout>
        <c:manualLayout>
          <c:xMode val="factor"/>
          <c:yMode val="factor"/>
          <c:x val="-0.264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5"/>
          <c:w val="0.9765"/>
          <c:h val="0.649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'cont. trial'!$E$20:$E$39</c:f>
              <c:numCache/>
            </c:numRef>
          </c:xVal>
          <c:yVal>
            <c:numRef>
              <c:f>'cont. trial'!$O$20:$O$39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'cont. trial'!$E$52:$E$71</c:f>
              <c:numCache/>
            </c:numRef>
          </c:xVal>
          <c:yVal>
            <c:numRef>
              <c:f>'cont. trial'!$O$52:$O$71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'cont. trial'!$E$76:$E$77</c:f>
              <c:numCache/>
            </c:numRef>
          </c:xVal>
          <c:yVal>
            <c:numRef>
              <c:f>'cont. trial'!$O$76:$O$77</c:f>
              <c:numCache/>
            </c:numRef>
          </c:yVal>
          <c:smooth val="0"/>
        </c:ser>
        <c:axId val="47462418"/>
        <c:axId val="24508579"/>
      </c:scatterChart>
      <c:valAx>
        <c:axId val="47462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08579"/>
        <c:crosses val="autoZero"/>
        <c:crossBetween val="midCat"/>
        <c:dispUnits/>
      </c:valAx>
      <c:valAx>
        <c:axId val="24508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624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"/>
          <c:y val="0.69725"/>
          <c:w val="0.47225"/>
          <c:h val="0.2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</a:p>
        </c:rich>
      </c:tx>
      <c:layout>
        <c:manualLayout>
          <c:xMode val="factor"/>
          <c:yMode val="factor"/>
          <c:x val="-0.45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4"/>
          <c:w val="0.9875"/>
          <c:h val="0.78475"/>
        </c:manualLayout>
      </c:layout>
      <c:lineChart>
        <c:grouping val="standard"/>
        <c:varyColors val="0"/>
        <c:ser>
          <c:idx val="0"/>
          <c:order val="0"/>
          <c:tx>
            <c:v>Group 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'cont. trial'!$F$42:$J$42</c:f>
                <c:numCache>
                  <c:ptCount val="5"/>
                  <c:pt idx="0">
                    <c:v>1.8821753354510673</c:v>
                  </c:pt>
                  <c:pt idx="1">
                    <c:v>1.6451646509425166</c:v>
                  </c:pt>
                  <c:pt idx="2">
                    <c:v>2.0675956511361195</c:v>
                  </c:pt>
                  <c:pt idx="3">
                    <c:v>2.148498504918501</c:v>
                  </c:pt>
                  <c:pt idx="4">
                    <c:v>2.429717945864883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'cont. trial'!$F$19:$J$19</c:f>
              <c:strCache/>
            </c:strRef>
          </c:cat>
          <c:val>
            <c:numRef>
              <c:f>'cont. trial'!$F$41:$J$41</c:f>
              <c:numCache/>
            </c:numRef>
          </c:val>
          <c:smooth val="0"/>
        </c:ser>
        <c:ser>
          <c:idx val="1"/>
          <c:order val="1"/>
          <c:tx>
            <c:v>Group 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'cont. trial'!$F$74:$J$74</c:f>
                <c:numCache>
                  <c:ptCount val="5"/>
                  <c:pt idx="0">
                    <c:v>2.0122816910360575</c:v>
                  </c:pt>
                  <c:pt idx="1">
                    <c:v>1.7796520036095411</c:v>
                  </c:pt>
                  <c:pt idx="2">
                    <c:v>3.1985909165220052</c:v>
                  </c:pt>
                  <c:pt idx="3">
                    <c:v>2.2995829480888332</c:v>
                  </c:pt>
                  <c:pt idx="4">
                    <c:v>1.4236292381864677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'cont. trial'!$F$19:$J$19</c:f>
              <c:strCache/>
            </c:strRef>
          </c:cat>
          <c:val>
            <c:numRef>
              <c:f>'cont. trial'!$F$73:$J$73</c:f>
              <c:numCache/>
            </c:numRef>
          </c:val>
          <c:smooth val="0"/>
        </c:ser>
        <c:marker val="1"/>
        <c:axId val="19250620"/>
        <c:axId val="39037853"/>
      </c:lineChart>
      <c:catAx>
        <c:axId val="1925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7853"/>
        <c:crosses val="autoZero"/>
        <c:auto val="1"/>
        <c:lblOffset val="100"/>
        <c:tickLblSkip val="1"/>
        <c:noMultiLvlLbl val="0"/>
      </c:catAx>
      <c:valAx>
        <c:axId val="39037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506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875"/>
          <c:y val="0.83075"/>
          <c:w val="0.47225"/>
          <c:h val="0.1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post1-pre2 vs X</a:t>
            </a:r>
          </a:p>
        </c:rich>
      </c:tx>
      <c:layout>
        <c:manualLayout>
          <c:xMode val="factor"/>
          <c:yMode val="factor"/>
          <c:x val="-0.26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445"/>
          <c:w val="0.932"/>
          <c:h val="0.6672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'cont. trial'!$E$20:$E$39</c:f>
              <c:numCache/>
            </c:numRef>
          </c:xVal>
          <c:yVal>
            <c:numRef>
              <c:f>'cont. trial'!$N$20:$N$39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'cont. trial'!$E$52:$E$71</c:f>
              <c:numCache/>
            </c:numRef>
          </c:xVal>
          <c:yVal>
            <c:numRef>
              <c:f>'cont. trial'!$N$52:$N$71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'cont. trial'!$E$76:$E$77</c:f>
              <c:numCache/>
            </c:numRef>
          </c:xVal>
          <c:yVal>
            <c:numRef>
              <c:f>'cont. trial'!$N$76:$N$77</c:f>
              <c:numCache/>
            </c:numRef>
          </c:yVal>
          <c:smooth val="0"/>
        </c:ser>
        <c:axId val="15796358"/>
        <c:axId val="7949495"/>
      </c:scatterChart>
      <c:valAx>
        <c:axId val="15796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49495"/>
        <c:crosses val="autoZero"/>
        <c:crossBetween val="midCat"/>
        <c:dispUnits/>
      </c:valAx>
      <c:valAx>
        <c:axId val="7949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63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85"/>
          <c:y val="0.695"/>
          <c:w val="0.47225"/>
          <c:h val="0.2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post1-pre2 vs Pred</a:t>
            </a:r>
          </a:p>
        </c:rich>
      </c:tx>
      <c:layout>
        <c:manualLayout>
          <c:xMode val="factor"/>
          <c:yMode val="factor"/>
          <c:x val="-0.232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0535"/>
          <c:w val="0.9435"/>
          <c:h val="0.6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'cont. trial'!$G$20:$G$39</c:f>
              <c:numCache/>
            </c:numRef>
          </c:xVal>
          <c:yVal>
            <c:numRef>
              <c:f>'cont. trial'!$N$20:$N$39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'cont. trial'!$G$52:$G$71</c:f>
              <c:numCache/>
            </c:numRef>
          </c:xVal>
          <c:yVal>
            <c:numRef>
              <c:f>'cont. trial'!$N$52:$N$71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'cont. trial'!$E$76:$E$77</c:f>
              <c:numCache/>
            </c:numRef>
          </c:xVal>
          <c:yVal>
            <c:numRef>
              <c:f>'cont. trial'!$N$76:$N$77</c:f>
              <c:numCache/>
            </c:numRef>
          </c:yVal>
          <c:smooth val="0"/>
        </c:ser>
        <c:axId val="4436592"/>
        <c:axId val="39929329"/>
      </c:scatterChart>
      <c:valAx>
        <c:axId val="4436592"/>
        <c:scaling>
          <c:orientation val="minMax"/>
          <c:min val="5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1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29329"/>
        <c:crosses val="autoZero"/>
        <c:crossBetween val="midCat"/>
        <c:dispUnits/>
      </c:valAx>
      <c:valAx>
        <c:axId val="39929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65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85"/>
          <c:y val="0.695"/>
          <c:w val="0.47225"/>
          <c:h val="0.2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post3-pre2 vs X</a:t>
            </a:r>
          </a:p>
        </c:rich>
      </c:tx>
      <c:layout>
        <c:manualLayout>
          <c:xMode val="factor"/>
          <c:yMode val="factor"/>
          <c:x val="-0.264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6125"/>
          <c:w val="0.9765"/>
          <c:h val="0.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'cont. trial'!$E$20:$E$39</c:f>
              <c:numCache/>
            </c:numRef>
          </c:xVal>
          <c:yVal>
            <c:numRef>
              <c:f>'cont. trial'!$P$20:$P$39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'cont. trial'!$E$52:$E$71</c:f>
              <c:numCache/>
            </c:numRef>
          </c:xVal>
          <c:yVal>
            <c:numRef>
              <c:f>'cont. trial'!$P$52:$P$71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'cont. trial'!$E$76:$E$77</c:f>
              <c:numCache/>
            </c:numRef>
          </c:xVal>
          <c:yVal>
            <c:numRef>
              <c:f>'cont. trial'!$O$76:$O$77</c:f>
              <c:numCache/>
            </c:numRef>
          </c:yVal>
          <c:smooth val="0"/>
        </c:ser>
        <c:axId val="23819642"/>
        <c:axId val="13050187"/>
      </c:scatterChart>
      <c:valAx>
        <c:axId val="23819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0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50187"/>
        <c:crosses val="autoZero"/>
        <c:crossBetween val="midCat"/>
        <c:dispUnits/>
      </c:valAx>
      <c:valAx>
        <c:axId val="13050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196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9"/>
          <c:y val="0.695"/>
          <c:w val="0.47225"/>
          <c:h val="0.2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65"/>
          <c:y val="0.0385"/>
          <c:w val="0.78275"/>
          <c:h val="0.72325"/>
        </c:manualLayout>
      </c:layout>
      <c:scatterChart>
        <c:scatterStyle val="lineMarker"/>
        <c:varyColors val="0"/>
        <c:ser>
          <c:idx val="1"/>
          <c:order val="0"/>
          <c:tx>
            <c:v>Con-observed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'binary outcome'!$D$18:$D$52</c:f>
              <c:numCache/>
            </c:numRef>
          </c:xVal>
          <c:yVal>
            <c:numRef>
              <c:f>'binary outcome'!$G$18:$G$52</c:f>
              <c:numCache/>
            </c:numRef>
          </c:yVal>
          <c:smooth val="0"/>
        </c:ser>
        <c:ser>
          <c:idx val="0"/>
          <c:order val="1"/>
          <c:tx>
            <c:v>Con-true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'binary outcome'!$D$18:$D$52</c:f>
              <c:numCache/>
            </c:numRef>
          </c:xVal>
          <c:yVal>
            <c:numRef>
              <c:f>'binary outcome'!$F$18:$F$52</c:f>
              <c:numCache/>
            </c:numRef>
          </c:yVal>
          <c:smooth val="0"/>
        </c:ser>
        <c:ser>
          <c:idx val="2"/>
          <c:order val="2"/>
          <c:tx>
            <c:v>Exp-observed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'binary outcome'!$J$18:$J$52</c:f>
              <c:numCache/>
            </c:numRef>
          </c:xVal>
          <c:yVal>
            <c:numRef>
              <c:f>'binary outcome'!$M$18:$M$52</c:f>
              <c:numCache/>
            </c:numRef>
          </c:yVal>
          <c:smooth val="0"/>
        </c:ser>
        <c:ser>
          <c:idx val="3"/>
          <c:order val="3"/>
          <c:tx>
            <c:v>Exp-true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'binary outcome'!$J$18:$J$52</c:f>
              <c:numCache/>
            </c:numRef>
          </c:xVal>
          <c:yVal>
            <c:numRef>
              <c:f>'binary outcome'!$L$18:$L$52</c:f>
              <c:numCache/>
            </c:numRef>
          </c:yVal>
          <c:smooth val="0"/>
        </c:ser>
        <c:ser>
          <c:idx val="4"/>
          <c:order val="4"/>
          <c:tx>
            <c:v>Mean of X</c:v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'binary outcome'!$R$18:$R$19</c:f>
              <c:numCache/>
            </c:numRef>
          </c:xVal>
          <c:yVal>
            <c:numRef>
              <c:f>'binary outcome'!$S$18:$S$19</c:f>
              <c:numCache/>
            </c:numRef>
          </c:yVal>
          <c:smooth val="0"/>
        </c:ser>
        <c:axId val="50342820"/>
        <c:axId val="50432197"/>
      </c:scatterChart>
      <c:valAx>
        <c:axId val="50342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1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32197"/>
        <c:crosses val="autoZero"/>
        <c:crossBetween val="midCat"/>
        <c:dispUnits/>
      </c:valAx>
      <c:valAx>
        <c:axId val="50432197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
of event</a:t>
                </a:r>
              </a:p>
            </c:rich>
          </c:tx>
          <c:layout>
            <c:manualLayout>
              <c:xMode val="factor"/>
              <c:yMode val="factor"/>
              <c:x val="0.029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42820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25"/>
          <c:y val="0.7695"/>
          <c:w val="0.3245"/>
          <c:h val="0.2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95"/>
          <c:y val="0.03775"/>
          <c:w val="0.7435"/>
          <c:h val="0.89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validity!$D$21:$D$40</c:f>
              <c:numCache/>
            </c:numRef>
          </c:xVal>
          <c:yVal>
            <c:numRef>
              <c:f>validity!$E$21:$E$40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validity!$D$21:$D$40</c:f>
              <c:numCache/>
            </c:numRef>
          </c:xVal>
          <c:yVal>
            <c:numRef>
              <c:f>validity!$D$21:$D$40</c:f>
              <c:numCache/>
            </c:numRef>
          </c:yVal>
          <c:smooth val="0"/>
        </c:ser>
        <c:axId val="32858116"/>
        <c:axId val="27287589"/>
      </c:scatterChart>
      <c:valAx>
        <c:axId val="32858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Video (practical)</a:t>
                </a:r>
              </a:p>
            </c:rich>
          </c:tx>
          <c:layout>
            <c:manualLayout>
              <c:xMode val="factor"/>
              <c:yMode val="factor"/>
              <c:x val="0.01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87589"/>
        <c:crosses val="autoZero"/>
        <c:crossBetween val="midCat"/>
        <c:dispUnits/>
      </c:valAx>
      <c:valAx>
        <c:axId val="272875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Goniometer
(criterion)</a:t>
                </a:r>
              </a:p>
            </c:rich>
          </c:tx>
          <c:layout>
            <c:manualLayout>
              <c:xMode val="factor"/>
              <c:yMode val="factor"/>
              <c:x val="0.055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81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"/>
          <c:y val="0.01675"/>
          <c:w val="0.80425"/>
          <c:h val="0.89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'validity %'!$D$17:$D$66</c:f>
              <c:numCache/>
            </c:numRef>
          </c:xVal>
          <c:yVal>
            <c:numRef>
              <c:f>'validity %'!$E$17:$E$66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'validity %'!$D$17:$D$66</c:f>
              <c:numCache/>
            </c:numRef>
          </c:xVal>
          <c:yVal>
            <c:numRef>
              <c:f>'validity %'!$D$17:$D$66</c:f>
              <c:numCache/>
            </c:numRef>
          </c:yVal>
          <c:smooth val="0"/>
        </c:ser>
        <c:axId val="44261710"/>
        <c:axId val="62811071"/>
      </c:scatterChart>
      <c:valAx>
        <c:axId val="44261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Saliva (practical)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11071"/>
        <c:crosses val="autoZero"/>
        <c:crossBetween val="midCat"/>
        <c:dispUnits/>
      </c:valAx>
      <c:valAx>
        <c:axId val="62811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Blood
(criterion)</a:t>
                </a:r>
              </a:p>
            </c:rich>
          </c:tx>
          <c:layout>
            <c:manualLayout>
              <c:xMode val="factor"/>
              <c:yMode val="factor"/>
              <c:x val="0.02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617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75"/>
          <c:y val="0.0045"/>
          <c:w val="0.81625"/>
          <c:h val="0.9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'validity %'!$H$17:$H$66</c:f>
              <c:numCache/>
            </c:numRef>
          </c:xVal>
          <c:yVal>
            <c:numRef>
              <c:f>'validity %'!$I$17:$I$66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'validity %'!$H$17:$H$66</c:f>
              <c:numCache/>
            </c:numRef>
          </c:xVal>
          <c:yVal>
            <c:numRef>
              <c:f>'validity %'!$H$17:$H$66</c:f>
              <c:numCache/>
            </c:numRef>
          </c:yVal>
          <c:smooth val="0"/>
        </c:ser>
        <c:axId val="28428728"/>
        <c:axId val="54531961"/>
      </c:scatterChart>
      <c:valAx>
        <c:axId val="2842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100*ln(Saliva) (practical)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1961"/>
        <c:crosses val="autoZero"/>
        <c:crossBetween val="midCat"/>
        <c:dispUnits/>
      </c:valAx>
      <c:valAx>
        <c:axId val="545319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100*ln
(Blood)
(criterion)</a:t>
                </a:r>
              </a:p>
            </c:rich>
          </c:tx>
          <c:layout>
            <c:manualLayout>
              <c:xMode val="factor"/>
              <c:yMode val="factor"/>
              <c:x val="0.0162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28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45"/>
          <c:y val="0"/>
          <c:w val="0.8455"/>
          <c:h val="0.91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'validity %'!$D$17:$D$66</c:f>
              <c:numCache/>
            </c:numRef>
          </c:xVal>
          <c:yVal>
            <c:numRef>
              <c:f>'validity %'!$E$17:$E$66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'validity %'!$D$17:$D$66</c:f>
              <c:numCache/>
            </c:numRef>
          </c:xVal>
          <c:yVal>
            <c:numRef>
              <c:f>'validity %'!$D$17:$D$66</c:f>
              <c:numCache/>
            </c:numRef>
          </c:yVal>
          <c:smooth val="0"/>
        </c:ser>
        <c:axId val="21025602"/>
        <c:axId val="55012691"/>
      </c:scatterChart>
      <c:valAx>
        <c:axId val="2102560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Saliva (practical)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2691"/>
        <c:crosses val="autoZero"/>
        <c:crossBetween val="midCat"/>
        <c:dispUnits/>
      </c:valAx>
      <c:valAx>
        <c:axId val="55012691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Blood
(criterion)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256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5"/>
          <c:y val="0.038"/>
          <c:w val="0.76525"/>
          <c:h val="0.81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'validity %'!$F$17:$F$66</c:f>
              <c:numCache/>
            </c:numRef>
          </c:xVal>
          <c:yVal>
            <c:numRef>
              <c:f>'validity %'!$G$17:$G$66</c:f>
              <c:numCache/>
            </c:numRef>
          </c:yVal>
          <c:smooth val="0"/>
        </c:ser>
        <c:axId val="25352172"/>
        <c:axId val="26842957"/>
      </c:scatterChart>
      <c:valAx>
        <c:axId val="25352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Predicteds</a:t>
                </a:r>
              </a:p>
            </c:rich>
          </c:tx>
          <c:layout>
            <c:manualLayout>
              <c:xMode val="factor"/>
              <c:yMode val="factor"/>
              <c:x val="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42957"/>
        <c:crosses val="autoZero"/>
        <c:crossBetween val="midCat"/>
        <c:dispUnits/>
      </c:valAx>
      <c:valAx>
        <c:axId val="268429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21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04075"/>
          <c:w val="0.76575"/>
          <c:h val="0.80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'validity %'!$J$17:$J$66</c:f>
              <c:numCache/>
            </c:numRef>
          </c:xVal>
          <c:yVal>
            <c:numRef>
              <c:f>'validity %'!$K$17:$K$66</c:f>
              <c:numCache/>
            </c:numRef>
          </c:yVal>
          <c:smooth val="0"/>
        </c:ser>
        <c:axId val="40260022"/>
        <c:axId val="26795879"/>
      </c:scatterChart>
      <c:valAx>
        <c:axId val="40260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Predicteds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95879"/>
        <c:crosses val="autoZero"/>
        <c:crossBetween val="midCat"/>
        <c:dispUnits/>
      </c:valAx>
      <c:valAx>
        <c:axId val="267958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0.02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600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Max power (W)</a:t>
            </a:r>
          </a:p>
        </c:rich>
      </c:tx>
      <c:layout>
        <c:manualLayout>
          <c:xMode val="factor"/>
          <c:yMode val="factor"/>
          <c:x val="-0.336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34"/>
          <c:w val="0.919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groups'!$H$15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plus"/>
            <c:errValType val="cust"/>
            <c:plus>
              <c:numRef>
                <c:f>'2 groups'!$I$16:$J$16</c:f>
                <c:numCache>
                  <c:ptCount val="2"/>
                  <c:pt idx="0">
                    <c:v>51.12310996345673</c:v>
                  </c:pt>
                  <c:pt idx="1">
                    <c:v>60.48360519747638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 groups'!$I$14:$J$14</c:f>
              <c:strCache/>
            </c:strRef>
          </c:cat>
          <c:val>
            <c:numRef>
              <c:f>'2 groups'!$I$15:$J$15</c:f>
              <c:numCache/>
            </c:numRef>
          </c:val>
        </c:ser>
        <c:axId val="39836320"/>
        <c:axId val="22982561"/>
      </c:barChart>
      <c:catAx>
        <c:axId val="39836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82561"/>
        <c:crosses val="autoZero"/>
        <c:auto val="1"/>
        <c:lblOffset val="100"/>
        <c:tickLblSkip val="1"/>
        <c:noMultiLvlLbl val="0"/>
      </c:catAx>
      <c:valAx>
        <c:axId val="22982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36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73"/>
          <c:w val="0.6377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groups'!$K$60:$K$73</c:f>
              <c:strCache/>
            </c:strRef>
          </c:cat>
          <c:val>
            <c:numRef>
              <c:f>'2 groups'!$L$60:$L$73</c:f>
              <c:numCache/>
            </c:numRef>
          </c:val>
        </c:ser>
        <c:axId val="5516458"/>
        <c:axId val="49648123"/>
      </c:barChart>
      <c:catAx>
        <c:axId val="5516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48123"/>
        <c:crosses val="autoZero"/>
        <c:auto val="1"/>
        <c:lblOffset val="100"/>
        <c:tickLblSkip val="2"/>
        <c:noMultiLvlLbl val="0"/>
      </c:catAx>
      <c:valAx>
        <c:axId val="49648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16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43"/>
          <c:w val="0.2175"/>
          <c:h val="0.0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15</xdr:row>
      <xdr:rowOff>9525</xdr:rowOff>
    </xdr:from>
    <xdr:to>
      <xdr:col>15</xdr:col>
      <xdr:colOff>571500</xdr:colOff>
      <xdr:row>32</xdr:row>
      <xdr:rowOff>142875</xdr:rowOff>
    </xdr:to>
    <xdr:graphicFrame>
      <xdr:nvGraphicFramePr>
        <xdr:cNvPr id="1" name="Chart 5"/>
        <xdr:cNvGraphicFramePr/>
      </xdr:nvGraphicFramePr>
      <xdr:xfrm>
        <a:off x="6210300" y="2533650"/>
        <a:ext cx="31813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20</xdr:row>
      <xdr:rowOff>57150</xdr:rowOff>
    </xdr:from>
    <xdr:to>
      <xdr:col>11</xdr:col>
      <xdr:colOff>276225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3524250" y="3314700"/>
        <a:ext cx="34861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6</xdr:row>
      <xdr:rowOff>57150</xdr:rowOff>
    </xdr:from>
    <xdr:to>
      <xdr:col>15</xdr:col>
      <xdr:colOff>542925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7010400" y="971550"/>
        <a:ext cx="30765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</xdr:colOff>
      <xdr:row>34</xdr:row>
      <xdr:rowOff>85725</xdr:rowOff>
    </xdr:from>
    <xdr:to>
      <xdr:col>15</xdr:col>
      <xdr:colOff>552450</xdr:colOff>
      <xdr:row>48</xdr:row>
      <xdr:rowOff>28575</xdr:rowOff>
    </xdr:to>
    <xdr:graphicFrame>
      <xdr:nvGraphicFramePr>
        <xdr:cNvPr id="2" name="Chart 3"/>
        <xdr:cNvGraphicFramePr/>
      </xdr:nvGraphicFramePr>
      <xdr:xfrm>
        <a:off x="7019925" y="5476875"/>
        <a:ext cx="307657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57150</xdr:colOff>
      <xdr:row>20</xdr:row>
      <xdr:rowOff>28575</xdr:rowOff>
    </xdr:from>
    <xdr:to>
      <xdr:col>15</xdr:col>
      <xdr:colOff>552450</xdr:colOff>
      <xdr:row>34</xdr:row>
      <xdr:rowOff>28575</xdr:rowOff>
    </xdr:to>
    <xdr:graphicFrame>
      <xdr:nvGraphicFramePr>
        <xdr:cNvPr id="3" name="Chart 4"/>
        <xdr:cNvGraphicFramePr/>
      </xdr:nvGraphicFramePr>
      <xdr:xfrm>
        <a:off x="7019925" y="3286125"/>
        <a:ext cx="307657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600075</xdr:colOff>
      <xdr:row>6</xdr:row>
      <xdr:rowOff>57150</xdr:rowOff>
    </xdr:from>
    <xdr:to>
      <xdr:col>21</xdr:col>
      <xdr:colOff>123825</xdr:colOff>
      <xdr:row>19</xdr:row>
      <xdr:rowOff>95250</xdr:rowOff>
    </xdr:to>
    <xdr:graphicFrame>
      <xdr:nvGraphicFramePr>
        <xdr:cNvPr id="4" name="Chart 6"/>
        <xdr:cNvGraphicFramePr/>
      </xdr:nvGraphicFramePr>
      <xdr:xfrm>
        <a:off x="10144125" y="971550"/>
        <a:ext cx="31813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57150</xdr:colOff>
      <xdr:row>34</xdr:row>
      <xdr:rowOff>95250</xdr:rowOff>
    </xdr:from>
    <xdr:to>
      <xdr:col>21</xdr:col>
      <xdr:colOff>190500</xdr:colOff>
      <xdr:row>48</xdr:row>
      <xdr:rowOff>28575</xdr:rowOff>
    </xdr:to>
    <xdr:graphicFrame>
      <xdr:nvGraphicFramePr>
        <xdr:cNvPr id="5" name="Chart 7"/>
        <xdr:cNvGraphicFramePr/>
      </xdr:nvGraphicFramePr>
      <xdr:xfrm>
        <a:off x="10210800" y="5486400"/>
        <a:ext cx="3181350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16</xdr:row>
      <xdr:rowOff>114300</xdr:rowOff>
    </xdr:from>
    <xdr:to>
      <xdr:col>10</xdr:col>
      <xdr:colOff>371475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3676650" y="2771775"/>
        <a:ext cx="24384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58</xdr:row>
      <xdr:rowOff>95250</xdr:rowOff>
    </xdr:from>
    <xdr:to>
      <xdr:col>19</xdr:col>
      <xdr:colOff>276225</xdr:colOff>
      <xdr:row>73</xdr:row>
      <xdr:rowOff>9525</xdr:rowOff>
    </xdr:to>
    <xdr:graphicFrame>
      <xdr:nvGraphicFramePr>
        <xdr:cNvPr id="2" name="Chart 3"/>
        <xdr:cNvGraphicFramePr/>
      </xdr:nvGraphicFramePr>
      <xdr:xfrm>
        <a:off x="6886575" y="9191625"/>
        <a:ext cx="299085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247650</xdr:colOff>
      <xdr:row>42</xdr:row>
      <xdr:rowOff>0</xdr:rowOff>
    </xdr:from>
    <xdr:to>
      <xdr:col>19</xdr:col>
      <xdr:colOff>266700</xdr:colOff>
      <xdr:row>57</xdr:row>
      <xdr:rowOff>66675</xdr:rowOff>
    </xdr:to>
    <xdr:graphicFrame>
      <xdr:nvGraphicFramePr>
        <xdr:cNvPr id="3" name="Chart 5"/>
        <xdr:cNvGraphicFramePr/>
      </xdr:nvGraphicFramePr>
      <xdr:xfrm>
        <a:off x="6858000" y="6638925"/>
        <a:ext cx="30099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18</xdr:row>
      <xdr:rowOff>85725</xdr:rowOff>
    </xdr:from>
    <xdr:to>
      <xdr:col>16</xdr:col>
      <xdr:colOff>381000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6505575" y="3152775"/>
        <a:ext cx="33051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18</xdr:row>
      <xdr:rowOff>276225</xdr:rowOff>
    </xdr:from>
    <xdr:to>
      <xdr:col>20</xdr:col>
      <xdr:colOff>333375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7762875" y="3771900"/>
        <a:ext cx="2228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161925</xdr:colOff>
      <xdr:row>46</xdr:row>
      <xdr:rowOff>123825</xdr:rowOff>
    </xdr:from>
    <xdr:to>
      <xdr:col>20</xdr:col>
      <xdr:colOff>333375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7762875" y="8267700"/>
        <a:ext cx="22288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142875</xdr:colOff>
      <xdr:row>8</xdr:row>
      <xdr:rowOff>9525</xdr:rowOff>
    </xdr:from>
    <xdr:to>
      <xdr:col>20</xdr:col>
      <xdr:colOff>314325</xdr:colOff>
      <xdr:row>17</xdr:row>
      <xdr:rowOff>123825</xdr:rowOff>
    </xdr:to>
    <xdr:graphicFrame>
      <xdr:nvGraphicFramePr>
        <xdr:cNvPr id="3" name="Chart 3"/>
        <xdr:cNvGraphicFramePr/>
      </xdr:nvGraphicFramePr>
      <xdr:xfrm>
        <a:off x="7743825" y="1304925"/>
        <a:ext cx="2228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190500</xdr:colOff>
      <xdr:row>33</xdr:row>
      <xdr:rowOff>85725</xdr:rowOff>
    </xdr:from>
    <xdr:to>
      <xdr:col>20</xdr:col>
      <xdr:colOff>361950</xdr:colOff>
      <xdr:row>45</xdr:row>
      <xdr:rowOff>161925</xdr:rowOff>
    </xdr:to>
    <xdr:graphicFrame>
      <xdr:nvGraphicFramePr>
        <xdr:cNvPr id="4" name="Chart 4"/>
        <xdr:cNvGraphicFramePr/>
      </xdr:nvGraphicFramePr>
      <xdr:xfrm>
        <a:off x="7791450" y="6048375"/>
        <a:ext cx="2228850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304800</xdr:colOff>
      <xdr:row>39</xdr:row>
      <xdr:rowOff>95250</xdr:rowOff>
    </xdr:from>
    <xdr:to>
      <xdr:col>15</xdr:col>
      <xdr:colOff>428625</xdr:colOff>
      <xdr:row>49</xdr:row>
      <xdr:rowOff>123825</xdr:rowOff>
    </xdr:to>
    <xdr:graphicFrame>
      <xdr:nvGraphicFramePr>
        <xdr:cNvPr id="5" name="Chart 4"/>
        <xdr:cNvGraphicFramePr/>
      </xdr:nvGraphicFramePr>
      <xdr:xfrm>
        <a:off x="5295900" y="6972300"/>
        <a:ext cx="2219325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200025</xdr:colOff>
      <xdr:row>57</xdr:row>
      <xdr:rowOff>95250</xdr:rowOff>
    </xdr:from>
    <xdr:to>
      <xdr:col>20</xdr:col>
      <xdr:colOff>371475</xdr:colOff>
      <xdr:row>71</xdr:row>
      <xdr:rowOff>19050</xdr:rowOff>
    </xdr:to>
    <xdr:graphicFrame>
      <xdr:nvGraphicFramePr>
        <xdr:cNvPr id="6" name="Chart 2"/>
        <xdr:cNvGraphicFramePr/>
      </xdr:nvGraphicFramePr>
      <xdr:xfrm>
        <a:off x="7800975" y="10477500"/>
        <a:ext cx="2228850" cy="2057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20</xdr:row>
      <xdr:rowOff>57150</xdr:rowOff>
    </xdr:from>
    <xdr:to>
      <xdr:col>19</xdr:col>
      <xdr:colOff>514350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6591300" y="3267075"/>
        <a:ext cx="37528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</cols>
  <sheetData>
    <row r="1" ht="12">
      <c r="B1" t="s">
        <v>111</v>
      </c>
    </row>
    <row r="2" spans="2:9" ht="12">
      <c r="B2" s="2" t="s">
        <v>110</v>
      </c>
      <c r="C2" s="18"/>
      <c r="D2" s="19"/>
      <c r="E2" s="11"/>
      <c r="F2" s="20"/>
      <c r="G2" s="21"/>
      <c r="H2" s="22"/>
      <c r="I2" s="23"/>
    </row>
    <row r="5" spans="2:7" ht="12">
      <c r="B5" t="s">
        <v>277</v>
      </c>
      <c r="D5" s="2" t="s">
        <v>279</v>
      </c>
      <c r="G5" s="2" t="s">
        <v>278</v>
      </c>
    </row>
    <row r="6" spans="2:7" ht="12">
      <c r="B6" s="18">
        <f ca="1">RAND()</f>
        <v>0.41766559651119883</v>
      </c>
      <c r="D6" s="11" t="str">
        <f ca="1">IF(RAND()&lt;0.5,"heads","tails")</f>
        <v>heads</v>
      </c>
      <c r="G6" s="21">
        <v>0.3</v>
      </c>
    </row>
    <row r="7" spans="2:4" ht="12">
      <c r="B7" s="19">
        <f ca="1">RAND()</f>
        <v>0.7320252969629738</v>
      </c>
      <c r="D7" s="20" t="str">
        <f aca="true" ca="1" t="shared" si="0" ref="D7:D20">IF(RAND()&lt;0.5,"heads","tails")</f>
        <v>heads</v>
      </c>
    </row>
    <row r="8" spans="4:7" ht="12">
      <c r="D8" s="20" t="str">
        <f ca="1" t="shared" si="0"/>
        <v>tails</v>
      </c>
      <c r="G8" s="22" t="str">
        <f aca="true" ca="1" t="shared" si="1" ref="G8:G28">IF(RAND()&lt;$G$6,"heads","tails")</f>
        <v>tails</v>
      </c>
    </row>
    <row r="9" spans="4:7" ht="12">
      <c r="D9" s="20" t="str">
        <f ca="1" t="shared" si="0"/>
        <v>heads</v>
      </c>
      <c r="G9" s="23" t="str">
        <f ca="1" t="shared" si="1"/>
        <v>tails</v>
      </c>
    </row>
    <row r="10" spans="4:7" ht="12">
      <c r="D10" s="20" t="str">
        <f ca="1" t="shared" si="0"/>
        <v>tails</v>
      </c>
      <c r="G10" s="23" t="str">
        <f ca="1" t="shared" si="1"/>
        <v>heads</v>
      </c>
    </row>
    <row r="11" spans="4:7" ht="12">
      <c r="D11" s="20" t="str">
        <f ca="1" t="shared" si="0"/>
        <v>heads</v>
      </c>
      <c r="G11" s="23" t="str">
        <f ca="1" t="shared" si="1"/>
        <v>tails</v>
      </c>
    </row>
    <row r="12" spans="4:7" ht="12">
      <c r="D12" s="20" t="str">
        <f ca="1" t="shared" si="0"/>
        <v>tails</v>
      </c>
      <c r="G12" s="23" t="str">
        <f ca="1" t="shared" si="1"/>
        <v>tails</v>
      </c>
    </row>
    <row r="13" spans="4:7" ht="12">
      <c r="D13" s="20" t="str">
        <f ca="1" t="shared" si="0"/>
        <v>heads</v>
      </c>
      <c r="G13" s="23" t="str">
        <f ca="1" t="shared" si="1"/>
        <v>tails</v>
      </c>
    </row>
    <row r="14" spans="4:8" ht="12">
      <c r="D14" s="20" t="str">
        <f ca="1" t="shared" si="0"/>
        <v>heads</v>
      </c>
      <c r="G14" s="23" t="str">
        <f ca="1" t="shared" si="1"/>
        <v>tails</v>
      </c>
      <c r="H14" t="s">
        <v>117</v>
      </c>
    </row>
    <row r="15" spans="4:7" ht="12">
      <c r="D15" s="20" t="str">
        <f ca="1" t="shared" si="0"/>
        <v>tails</v>
      </c>
      <c r="G15" s="23" t="str">
        <f ca="1" t="shared" si="1"/>
        <v>tails</v>
      </c>
    </row>
    <row r="16" spans="4:7" ht="12">
      <c r="D16" s="20" t="str">
        <f ca="1" t="shared" si="0"/>
        <v>heads</v>
      </c>
      <c r="G16" s="23" t="str">
        <f ca="1" t="shared" si="1"/>
        <v>heads</v>
      </c>
    </row>
    <row r="17" spans="4:7" ht="12">
      <c r="D17" s="20" t="str">
        <f ca="1" t="shared" si="0"/>
        <v>tails</v>
      </c>
      <c r="G17" s="23" t="str">
        <f ca="1" t="shared" si="1"/>
        <v>tails</v>
      </c>
    </row>
    <row r="18" spans="4:10" ht="12">
      <c r="D18" s="20" t="str">
        <f ca="1" t="shared" si="0"/>
        <v>heads</v>
      </c>
      <c r="F18" s="24"/>
      <c r="G18" s="23" t="str">
        <f ca="1" t="shared" si="1"/>
        <v>tails</v>
      </c>
      <c r="H18" s="24"/>
      <c r="I18" s="24"/>
      <c r="J18" s="24"/>
    </row>
    <row r="19" spans="4:10" ht="12">
      <c r="D19" s="20" t="str">
        <f ca="1" t="shared" si="0"/>
        <v>tails</v>
      </c>
      <c r="F19" s="24"/>
      <c r="G19" s="23" t="str">
        <f ca="1" t="shared" si="1"/>
        <v>tails</v>
      </c>
      <c r="H19" s="24"/>
      <c r="I19" s="24"/>
      <c r="J19" s="24"/>
    </row>
    <row r="20" spans="4:7" ht="12">
      <c r="D20" s="20" t="str">
        <f ca="1" t="shared" si="0"/>
        <v>tails</v>
      </c>
      <c r="G20" s="23" t="str">
        <f ca="1" t="shared" si="1"/>
        <v>tails</v>
      </c>
    </row>
    <row r="21" ht="12">
      <c r="G21" s="23" t="str">
        <f ca="1" t="shared" si="1"/>
        <v>tails</v>
      </c>
    </row>
    <row r="22" ht="12">
      <c r="G22" s="23" t="str">
        <f ca="1" t="shared" si="1"/>
        <v>tails</v>
      </c>
    </row>
    <row r="23" ht="12">
      <c r="G23" s="23" t="str">
        <f ca="1" t="shared" si="1"/>
        <v>heads</v>
      </c>
    </row>
    <row r="24" ht="12">
      <c r="G24" s="23" t="str">
        <f ca="1" t="shared" si="1"/>
        <v>tails</v>
      </c>
    </row>
    <row r="25" ht="12">
      <c r="G25" s="23" t="str">
        <f ca="1" t="shared" si="1"/>
        <v>heads</v>
      </c>
    </row>
    <row r="26" ht="12">
      <c r="G26" s="23" t="str">
        <f ca="1" t="shared" si="1"/>
        <v>tails</v>
      </c>
    </row>
    <row r="27" ht="12">
      <c r="G27" s="23" t="str">
        <f ca="1" t="shared" si="1"/>
        <v>heads</v>
      </c>
    </row>
    <row r="28" ht="12">
      <c r="G28" s="23" t="str">
        <f ca="1" t="shared" si="1"/>
        <v>tails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Z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7.57421875" style="0" customWidth="1"/>
    <col min="4" max="4" width="7.7109375" style="3" customWidth="1"/>
    <col min="5" max="5" width="7.57421875" style="0" customWidth="1"/>
    <col min="6" max="8" width="7.7109375" style="3" customWidth="1"/>
    <col min="9" max="10" width="7.7109375" style="0" customWidth="1"/>
    <col min="11" max="11" width="6.28125" style="0" customWidth="1"/>
    <col min="12" max="12" width="2.28125" style="0" customWidth="1"/>
    <col min="13" max="14" width="7.57421875" style="0" customWidth="1"/>
    <col min="15" max="19" width="7.7109375" style="3" customWidth="1"/>
    <col min="20" max="21" width="7.7109375" style="0" customWidth="1"/>
  </cols>
  <sheetData>
    <row r="1" ht="12.75">
      <c r="B1" t="s">
        <v>291</v>
      </c>
    </row>
    <row r="2" ht="12.75">
      <c r="B2" t="s">
        <v>270</v>
      </c>
    </row>
    <row r="3" ht="12.75">
      <c r="B3" t="s">
        <v>271</v>
      </c>
    </row>
    <row r="4" ht="12.75">
      <c r="B4" s="325" t="s">
        <v>337</v>
      </c>
    </row>
    <row r="5" ht="12.75">
      <c r="B5" t="s">
        <v>272</v>
      </c>
    </row>
    <row r="6" ht="12.75">
      <c r="B6" s="325" t="s">
        <v>345</v>
      </c>
    </row>
    <row r="7" spans="2:19" ht="12.75">
      <c r="B7" s="2" t="s">
        <v>110</v>
      </c>
      <c r="C7" s="18"/>
      <c r="D7" s="19"/>
      <c r="E7" s="11"/>
      <c r="F7" s="20"/>
      <c r="G7" s="21"/>
      <c r="H7" s="22"/>
      <c r="I7" s="23"/>
      <c r="J7" s="25"/>
      <c r="O7"/>
      <c r="P7"/>
      <c r="Q7"/>
      <c r="R7"/>
      <c r="S7"/>
    </row>
    <row r="8" spans="2:19" ht="12.75">
      <c r="B8" s="2"/>
      <c r="C8" s="18"/>
      <c r="D8" s="19"/>
      <c r="E8" s="11"/>
      <c r="F8" s="20"/>
      <c r="G8" s="21"/>
      <c r="H8" s="22"/>
      <c r="I8" s="23"/>
      <c r="J8" s="25"/>
      <c r="O8"/>
      <c r="P8"/>
      <c r="Q8"/>
      <c r="R8"/>
      <c r="S8"/>
    </row>
    <row r="9" ht="12.75">
      <c r="F9" s="258" t="s">
        <v>350</v>
      </c>
    </row>
    <row r="10" spans="2:11" ht="12.75">
      <c r="B10" s="259" t="s">
        <v>250</v>
      </c>
      <c r="D10" s="259" t="s">
        <v>250</v>
      </c>
      <c r="E10" s="259" t="s">
        <v>248</v>
      </c>
      <c r="F10" s="259" t="s">
        <v>240</v>
      </c>
      <c r="G10" s="259" t="s">
        <v>243</v>
      </c>
      <c r="H10" s="259" t="s">
        <v>246</v>
      </c>
      <c r="I10" s="259" t="s">
        <v>247</v>
      </c>
      <c r="J10" s="327" t="s">
        <v>342</v>
      </c>
      <c r="K10" s="180"/>
    </row>
    <row r="11" spans="2:21" ht="25.5" customHeight="1">
      <c r="B11" s="331" t="s">
        <v>346</v>
      </c>
      <c r="D11" s="260" t="s">
        <v>241</v>
      </c>
      <c r="E11" s="260" t="s">
        <v>249</v>
      </c>
      <c r="F11" s="260" t="s">
        <v>166</v>
      </c>
      <c r="G11" s="260" t="s">
        <v>166</v>
      </c>
      <c r="H11" s="260" t="s">
        <v>166</v>
      </c>
      <c r="I11" s="260" t="s">
        <v>166</v>
      </c>
      <c r="J11" s="260" t="s">
        <v>166</v>
      </c>
      <c r="K11" s="180"/>
      <c r="U11" s="180"/>
    </row>
    <row r="12" spans="2:21" ht="15">
      <c r="B12" s="261">
        <v>400</v>
      </c>
      <c r="D12" s="332">
        <f>100*LN(B12)</f>
        <v>599.1464547107981</v>
      </c>
      <c r="E12" s="261">
        <v>10</v>
      </c>
      <c r="F12" s="261">
        <v>0</v>
      </c>
      <c r="G12" s="261">
        <v>0</v>
      </c>
      <c r="H12" s="261">
        <v>1</v>
      </c>
      <c r="I12" s="261">
        <v>0</v>
      </c>
      <c r="J12" s="261">
        <v>0</v>
      </c>
      <c r="K12" s="181"/>
      <c r="U12" s="181"/>
    </row>
    <row r="13" spans="4:21" ht="25.5" customHeight="1">
      <c r="D13" s="331" t="s">
        <v>347</v>
      </c>
      <c r="E13" s="260" t="s">
        <v>242</v>
      </c>
      <c r="F13" s="260" t="s">
        <v>245</v>
      </c>
      <c r="G13" s="260" t="s">
        <v>245</v>
      </c>
      <c r="H13" s="260" t="s">
        <v>245</v>
      </c>
      <c r="I13" s="260" t="s">
        <v>245</v>
      </c>
      <c r="J13" s="260" t="s">
        <v>245</v>
      </c>
      <c r="K13" s="180"/>
      <c r="U13" s="180"/>
    </row>
    <row r="14" spans="4:21" ht="15">
      <c r="D14" s="261">
        <v>1</v>
      </c>
      <c r="E14" s="261">
        <v>4</v>
      </c>
      <c r="F14" s="261">
        <v>1.5</v>
      </c>
      <c r="G14" s="262">
        <v>1.5</v>
      </c>
      <c r="H14" s="262">
        <v>1.5</v>
      </c>
      <c r="I14" s="262">
        <v>1.5</v>
      </c>
      <c r="J14" s="262">
        <v>1.5</v>
      </c>
      <c r="K14" s="182"/>
      <c r="U14" s="182"/>
    </row>
    <row r="15" spans="4:21" ht="24" customHeight="1">
      <c r="D15" s="263"/>
      <c r="E15" s="260" t="s">
        <v>265</v>
      </c>
      <c r="F15" s="260" t="s">
        <v>244</v>
      </c>
      <c r="G15" s="260" t="s">
        <v>244</v>
      </c>
      <c r="H15" s="260" t="s">
        <v>244</v>
      </c>
      <c r="I15" s="260" t="s">
        <v>244</v>
      </c>
      <c r="J15" s="260" t="s">
        <v>244</v>
      </c>
      <c r="K15" s="180"/>
      <c r="U15" s="180"/>
    </row>
    <row r="16" spans="4:21" ht="15">
      <c r="D16" s="264"/>
      <c r="E16" s="261">
        <v>-0.8</v>
      </c>
      <c r="F16" s="261">
        <v>0</v>
      </c>
      <c r="G16" s="261">
        <v>0</v>
      </c>
      <c r="H16" s="261">
        <v>0</v>
      </c>
      <c r="I16" s="261">
        <v>0</v>
      </c>
      <c r="J16" s="261">
        <v>0</v>
      </c>
      <c r="K16" s="181"/>
      <c r="U16" s="181"/>
    </row>
    <row r="17" spans="4:21" ht="15">
      <c r="D17"/>
      <c r="F17"/>
      <c r="G17"/>
      <c r="H17"/>
      <c r="K17" s="181"/>
      <c r="U17" s="181"/>
    </row>
    <row r="18" spans="4:22" ht="12.75">
      <c r="D18" s="183"/>
      <c r="F18" s="333" t="s">
        <v>348</v>
      </c>
      <c r="G18" s="184"/>
      <c r="H18" s="184"/>
      <c r="I18" s="184"/>
      <c r="J18" s="184"/>
      <c r="K18" s="184"/>
      <c r="U18" s="184"/>
      <c r="V18" s="334" t="s">
        <v>349</v>
      </c>
    </row>
    <row r="19" spans="2:26" ht="24.75" customHeight="1">
      <c r="B19" s="265" t="s">
        <v>257</v>
      </c>
      <c r="C19" s="265" t="s">
        <v>237</v>
      </c>
      <c r="D19" s="266" t="s">
        <v>239</v>
      </c>
      <c r="E19" s="267" t="s">
        <v>248</v>
      </c>
      <c r="F19" s="73" t="s">
        <v>240</v>
      </c>
      <c r="G19" s="73" t="s">
        <v>243</v>
      </c>
      <c r="H19" s="73" t="s">
        <v>246</v>
      </c>
      <c r="I19" s="73" t="s">
        <v>247</v>
      </c>
      <c r="J19" s="329" t="s">
        <v>342</v>
      </c>
      <c r="K19" s="180"/>
      <c r="M19" s="105" t="s">
        <v>256</v>
      </c>
      <c r="N19" s="105" t="s">
        <v>254</v>
      </c>
      <c r="O19" s="105" t="s">
        <v>255</v>
      </c>
      <c r="P19" s="330" t="s">
        <v>344</v>
      </c>
      <c r="U19" s="184"/>
      <c r="V19" s="270" t="s">
        <v>266</v>
      </c>
      <c r="W19" s="270" t="s">
        <v>267</v>
      </c>
      <c r="X19" s="270" t="s">
        <v>268</v>
      </c>
      <c r="Y19" s="270" t="s">
        <v>269</v>
      </c>
      <c r="Z19" s="270" t="s">
        <v>343</v>
      </c>
    </row>
    <row r="20" spans="2:26" ht="12.75">
      <c r="B20" s="19" t="s">
        <v>258</v>
      </c>
      <c r="C20" s="268" t="s">
        <v>22</v>
      </c>
      <c r="D20" s="269">
        <f aca="true" ca="1" t="shared" si="0" ref="D20:D39">D$12+D$14*NORMSINV(RAND())</f>
        <v>599.1986619400403</v>
      </c>
      <c r="E20" s="170">
        <f ca="1">$E$12+$E$14*NORMSINV(RAND())</f>
        <v>13.991456491535534</v>
      </c>
      <c r="F20" s="156">
        <f aca="true" ca="1" t="shared" si="1" ref="F20:F39">D20+F$12+V20+F$14*NORMSINV(RAND())</f>
        <v>598.9587267040354</v>
      </c>
      <c r="G20" s="156">
        <f aca="true" ca="1" t="shared" si="2" ref="G20:G39">D20+G$12+W20+G$14*NORMSINV(RAND())</f>
        <v>597.5744837437835</v>
      </c>
      <c r="H20" s="156">
        <f aca="true" ca="1" t="shared" si="3" ref="H20:H39">D20+H$12+X20+H$14*NORMSINV(RAND())</f>
        <v>601.4984865304472</v>
      </c>
      <c r="I20" s="156">
        <f ca="1">D20+I$12+Y20+I$14*NORMSINV(RAND())</f>
        <v>599.6655194912338</v>
      </c>
      <c r="J20" s="156">
        <f ca="1">D20+J$12+Z20+J$14*NORMSINV(RAND())</f>
        <v>600.991438865329</v>
      </c>
      <c r="K20" s="6"/>
      <c r="M20" s="36">
        <f aca="true" t="shared" si="4" ref="M20:M39">G20-F20</f>
        <v>-1.3842429602518678</v>
      </c>
      <c r="N20" s="36">
        <f aca="true" t="shared" si="5" ref="N20:N39">H20-G20</f>
        <v>3.9240027866636638</v>
      </c>
      <c r="O20" s="36">
        <f>I20-G20</f>
        <v>2.0910357474502916</v>
      </c>
      <c r="P20" s="36">
        <f>J20-G20</f>
        <v>3.4169551215454703</v>
      </c>
      <c r="U20" s="6"/>
      <c r="V20" s="271">
        <f aca="true" ca="1" t="shared" si="6" ref="V20:V39">F$16*($E$16*(E20-$E$12)/$E$14+SQRT(1-$E$16^2)*NORMSINV(RAND()))</f>
        <v>0</v>
      </c>
      <c r="W20" s="271">
        <f aca="true" ca="1" t="shared" si="7" ref="W20:W39">G$16*($E$16*(E20-$E$12)/$E$14+SQRT(1-$E$16^2)*NORMSINV(RAND()))</f>
        <v>0</v>
      </c>
      <c r="X20" s="271">
        <f aca="true" ca="1" t="shared" si="8" ref="X20:X39">H$16*($E$16*(E20-$E$12)/$E$14+SQRT(1-$E$16^2)*NORMSINV(RAND()))</f>
        <v>0</v>
      </c>
      <c r="Y20" s="271">
        <f ca="1">I$16*($E$16*(E20-$E$12)/$E$14+SQRT(1-$E$16^2)*NORMSINV(RAND()))</f>
        <v>0</v>
      </c>
      <c r="Z20" s="271">
        <f ca="1">J$16*($E$16*(E20-$E$12)/$E$14+SQRT(1-$E$16^2)*NORMSINV(RAND()))</f>
        <v>0</v>
      </c>
    </row>
    <row r="21" spans="2:26" ht="12.75">
      <c r="B21" s="19" t="s">
        <v>258</v>
      </c>
      <c r="C21" s="268" t="s">
        <v>23</v>
      </c>
      <c r="D21" s="269">
        <f ca="1" t="shared" si="0"/>
        <v>600.3077744657504</v>
      </c>
      <c r="E21" s="170">
        <f aca="true" ca="1" t="shared" si="9" ref="E21:E39">$E$12+$E$14*NORMSINV(RAND())</f>
        <v>3.362552677694141</v>
      </c>
      <c r="F21" s="156">
        <f ca="1" t="shared" si="1"/>
        <v>599.3857773824276</v>
      </c>
      <c r="G21" s="156">
        <f ca="1" t="shared" si="2"/>
        <v>600.310504324392</v>
      </c>
      <c r="H21" s="156">
        <f ca="1" t="shared" si="3"/>
        <v>602.7802683257045</v>
      </c>
      <c r="I21" s="156">
        <f aca="true" ca="1" t="shared" si="10" ref="I21:I39">D21+I$12+Y21+I$14*NORMSINV(RAND())</f>
        <v>600.3586373674756</v>
      </c>
      <c r="J21" s="156">
        <f aca="true" ca="1" t="shared" si="11" ref="J21:J39">D21+J$12+Z21+J$14*NORMSINV(RAND())</f>
        <v>603.4427447835313</v>
      </c>
      <c r="K21" s="6"/>
      <c r="M21" s="36">
        <f t="shared" si="4"/>
        <v>0.9247269419644226</v>
      </c>
      <c r="N21" s="36">
        <f t="shared" si="5"/>
        <v>2.4697640013124555</v>
      </c>
      <c r="O21" s="36">
        <f aca="true" t="shared" si="12" ref="O21:O39">I21-G21</f>
        <v>0.04813304308356692</v>
      </c>
      <c r="P21" s="36">
        <f aca="true" t="shared" si="13" ref="P21:P39">J21-G21</f>
        <v>3.132240459139325</v>
      </c>
      <c r="U21" s="6"/>
      <c r="V21" s="271">
        <f ca="1" t="shared" si="6"/>
        <v>0</v>
      </c>
      <c r="W21" s="271">
        <f ca="1" t="shared" si="7"/>
        <v>0</v>
      </c>
      <c r="X21" s="271">
        <f ca="1" t="shared" si="8"/>
        <v>0</v>
      </c>
      <c r="Y21" s="271">
        <f aca="true" ca="1" t="shared" si="14" ref="Y21:Y39">I$16*($E$16*(E21-$E$12)/$E$14+SQRT(1-$E$16^2)*NORMSINV(RAND()))</f>
        <v>0</v>
      </c>
      <c r="Z21" s="271">
        <f aca="true" ca="1" t="shared" si="15" ref="Z21:Z39">J$16*($E$16*(E21-$E$12)/$E$14+SQRT(1-$E$16^2)*NORMSINV(RAND()))</f>
        <v>0</v>
      </c>
    </row>
    <row r="22" spans="2:26" ht="12">
      <c r="B22" s="19" t="s">
        <v>258</v>
      </c>
      <c r="C22" s="268" t="s">
        <v>24</v>
      </c>
      <c r="D22" s="269">
        <f ca="1" t="shared" si="0"/>
        <v>598.101628108026</v>
      </c>
      <c r="E22" s="170">
        <f ca="1" t="shared" si="9"/>
        <v>11.052492760074822</v>
      </c>
      <c r="F22" s="156">
        <f ca="1" t="shared" si="1"/>
        <v>594.8304583431951</v>
      </c>
      <c r="G22" s="156">
        <f ca="1" t="shared" si="2"/>
        <v>597.5096668269623</v>
      </c>
      <c r="H22" s="156">
        <f ca="1" t="shared" si="3"/>
        <v>598.9972822327065</v>
      </c>
      <c r="I22" s="156">
        <f ca="1" t="shared" si="10"/>
        <v>598.6711457319809</v>
      </c>
      <c r="J22" s="156">
        <f ca="1" t="shared" si="11"/>
        <v>597.4668563328237</v>
      </c>
      <c r="K22" s="6"/>
      <c r="M22" s="36">
        <f t="shared" si="4"/>
        <v>2.6792084837671837</v>
      </c>
      <c r="N22" s="36">
        <f t="shared" si="5"/>
        <v>1.4876154057442363</v>
      </c>
      <c r="O22" s="36">
        <f t="shared" si="12"/>
        <v>1.1614789050186118</v>
      </c>
      <c r="P22" s="36">
        <f t="shared" si="13"/>
        <v>-0.042810494138620925</v>
      </c>
      <c r="U22" s="6"/>
      <c r="V22" s="271">
        <f ca="1" t="shared" si="6"/>
        <v>0</v>
      </c>
      <c r="W22" s="271">
        <f ca="1" t="shared" si="7"/>
        <v>0</v>
      </c>
      <c r="X22" s="271">
        <f ca="1" t="shared" si="8"/>
        <v>0</v>
      </c>
      <c r="Y22" s="271">
        <f ca="1" t="shared" si="14"/>
        <v>0</v>
      </c>
      <c r="Z22" s="271">
        <f ca="1" t="shared" si="15"/>
        <v>0</v>
      </c>
    </row>
    <row r="23" spans="2:26" ht="12">
      <c r="B23" s="19" t="s">
        <v>258</v>
      </c>
      <c r="C23" s="268" t="s">
        <v>25</v>
      </c>
      <c r="D23" s="269">
        <f ca="1" t="shared" si="0"/>
        <v>599.6919574400716</v>
      </c>
      <c r="E23" s="170">
        <f ca="1" t="shared" si="9"/>
        <v>9.388375877587334</v>
      </c>
      <c r="F23" s="156">
        <f ca="1" t="shared" si="1"/>
        <v>598.801006885083</v>
      </c>
      <c r="G23" s="156">
        <f ca="1" t="shared" si="2"/>
        <v>599.367889110603</v>
      </c>
      <c r="H23" s="156">
        <f ca="1" t="shared" si="3"/>
        <v>603.5423917519453</v>
      </c>
      <c r="I23" s="156">
        <f ca="1" t="shared" si="10"/>
        <v>596.2478028677189</v>
      </c>
      <c r="J23" s="156">
        <f ca="1" t="shared" si="11"/>
        <v>598.3415647341725</v>
      </c>
      <c r="K23" s="6"/>
      <c r="M23" s="36">
        <f t="shared" si="4"/>
        <v>0.5668822255199757</v>
      </c>
      <c r="N23" s="36">
        <f t="shared" si="5"/>
        <v>4.174502641342315</v>
      </c>
      <c r="O23" s="36">
        <f t="shared" si="12"/>
        <v>-3.120086242884099</v>
      </c>
      <c r="P23" s="36">
        <f t="shared" si="13"/>
        <v>-1.0263243764304661</v>
      </c>
      <c r="U23" s="6"/>
      <c r="V23" s="271">
        <f ca="1" t="shared" si="6"/>
        <v>0</v>
      </c>
      <c r="W23" s="271">
        <f ca="1" t="shared" si="7"/>
        <v>0</v>
      </c>
      <c r="X23" s="271">
        <f ca="1" t="shared" si="8"/>
        <v>0</v>
      </c>
      <c r="Y23" s="271">
        <f ca="1" t="shared" si="14"/>
        <v>0</v>
      </c>
      <c r="Z23" s="271">
        <f ca="1" t="shared" si="15"/>
        <v>0</v>
      </c>
    </row>
    <row r="24" spans="2:26" ht="12">
      <c r="B24" s="19" t="s">
        <v>258</v>
      </c>
      <c r="C24" s="268" t="s">
        <v>26</v>
      </c>
      <c r="D24" s="269">
        <f ca="1" t="shared" si="0"/>
        <v>599.4148733404129</v>
      </c>
      <c r="E24" s="170">
        <f ca="1" t="shared" si="9"/>
        <v>12.663882894931522</v>
      </c>
      <c r="F24" s="156">
        <f ca="1" t="shared" si="1"/>
        <v>600.8726378775966</v>
      </c>
      <c r="G24" s="156">
        <f ca="1" t="shared" si="2"/>
        <v>600.8122623743208</v>
      </c>
      <c r="H24" s="156">
        <f ca="1" t="shared" si="3"/>
        <v>601.839537927067</v>
      </c>
      <c r="I24" s="156">
        <f ca="1" t="shared" si="10"/>
        <v>596.1334011457919</v>
      </c>
      <c r="J24" s="156">
        <f ca="1" t="shared" si="11"/>
        <v>600.6716843042879</v>
      </c>
      <c r="K24" s="6"/>
      <c r="M24" s="36">
        <f t="shared" si="4"/>
        <v>-0.06037550327584995</v>
      </c>
      <c r="N24" s="36">
        <f t="shared" si="5"/>
        <v>1.0272755527462323</v>
      </c>
      <c r="O24" s="36">
        <f t="shared" si="12"/>
        <v>-4.678861228528831</v>
      </c>
      <c r="P24" s="36">
        <f t="shared" si="13"/>
        <v>-0.140578070032916</v>
      </c>
      <c r="U24" s="6"/>
      <c r="V24" s="271">
        <f ca="1" t="shared" si="6"/>
        <v>0</v>
      </c>
      <c r="W24" s="271">
        <f ca="1" t="shared" si="7"/>
        <v>0</v>
      </c>
      <c r="X24" s="271">
        <f ca="1" t="shared" si="8"/>
        <v>0</v>
      </c>
      <c r="Y24" s="271">
        <f ca="1" t="shared" si="14"/>
        <v>0</v>
      </c>
      <c r="Z24" s="271">
        <f ca="1" t="shared" si="15"/>
        <v>0</v>
      </c>
    </row>
    <row r="25" spans="2:26" ht="12">
      <c r="B25" s="19" t="s">
        <v>258</v>
      </c>
      <c r="C25" s="268" t="s">
        <v>27</v>
      </c>
      <c r="D25" s="269">
        <f ca="1" t="shared" si="0"/>
        <v>598.4488346720793</v>
      </c>
      <c r="E25" s="170">
        <f ca="1" t="shared" si="9"/>
        <v>16.539756908819736</v>
      </c>
      <c r="F25" s="156">
        <f ca="1" t="shared" si="1"/>
        <v>602.2994795920301</v>
      </c>
      <c r="G25" s="156">
        <f ca="1" t="shared" si="2"/>
        <v>598.8950490871389</v>
      </c>
      <c r="H25" s="156">
        <f ca="1" t="shared" si="3"/>
        <v>599.3526864468832</v>
      </c>
      <c r="I25" s="156">
        <f ca="1" t="shared" si="10"/>
        <v>598.2109242930352</v>
      </c>
      <c r="J25" s="156">
        <f ca="1" t="shared" si="11"/>
        <v>598.5103253048266</v>
      </c>
      <c r="K25" s="6"/>
      <c r="M25" s="36">
        <f t="shared" si="4"/>
        <v>-3.404430504891252</v>
      </c>
      <c r="N25" s="36">
        <f t="shared" si="5"/>
        <v>0.4576373597443535</v>
      </c>
      <c r="O25" s="36">
        <f t="shared" si="12"/>
        <v>-0.6841247941036954</v>
      </c>
      <c r="P25" s="36">
        <f t="shared" si="13"/>
        <v>-0.38472378231233506</v>
      </c>
      <c r="U25" s="6"/>
      <c r="V25" s="271">
        <f ca="1" t="shared" si="6"/>
        <v>0</v>
      </c>
      <c r="W25" s="271">
        <f ca="1" t="shared" si="7"/>
        <v>0</v>
      </c>
      <c r="X25" s="271">
        <f ca="1" t="shared" si="8"/>
        <v>0</v>
      </c>
      <c r="Y25" s="271">
        <f ca="1" t="shared" si="14"/>
        <v>0</v>
      </c>
      <c r="Z25" s="271">
        <f ca="1" t="shared" si="15"/>
        <v>0</v>
      </c>
    </row>
    <row r="26" spans="2:26" ht="12">
      <c r="B26" s="19" t="s">
        <v>258</v>
      </c>
      <c r="C26" s="268" t="s">
        <v>28</v>
      </c>
      <c r="D26" s="269">
        <f ca="1" t="shared" si="0"/>
        <v>599.2574922734392</v>
      </c>
      <c r="E26" s="170">
        <f ca="1" t="shared" si="9"/>
        <v>8.66121731685249</v>
      </c>
      <c r="F26" s="156">
        <f ca="1" t="shared" si="1"/>
        <v>597.630831624856</v>
      </c>
      <c r="G26" s="156">
        <f ca="1" t="shared" si="2"/>
        <v>598.5944470583215</v>
      </c>
      <c r="H26" s="156">
        <f ca="1" t="shared" si="3"/>
        <v>598.1364942772025</v>
      </c>
      <c r="I26" s="156">
        <f ca="1" t="shared" si="10"/>
        <v>600.2740759979853</v>
      </c>
      <c r="J26" s="156">
        <f ca="1" t="shared" si="11"/>
        <v>600.0256027582194</v>
      </c>
      <c r="K26" s="6"/>
      <c r="M26" s="36">
        <f t="shared" si="4"/>
        <v>0.9636154334655203</v>
      </c>
      <c r="N26" s="36">
        <f t="shared" si="5"/>
        <v>-0.45795278111904736</v>
      </c>
      <c r="O26" s="36">
        <f t="shared" si="12"/>
        <v>1.6796289396637576</v>
      </c>
      <c r="P26" s="36">
        <f t="shared" si="13"/>
        <v>1.4311556998978858</v>
      </c>
      <c r="U26" s="6"/>
      <c r="V26" s="271">
        <f ca="1" t="shared" si="6"/>
        <v>0</v>
      </c>
      <c r="W26" s="271">
        <f ca="1" t="shared" si="7"/>
        <v>0</v>
      </c>
      <c r="X26" s="271">
        <f ca="1" t="shared" si="8"/>
        <v>0</v>
      </c>
      <c r="Y26" s="271">
        <f ca="1" t="shared" si="14"/>
        <v>0</v>
      </c>
      <c r="Z26" s="271">
        <f ca="1" t="shared" si="15"/>
        <v>0</v>
      </c>
    </row>
    <row r="27" spans="2:26" ht="12">
      <c r="B27" s="19" t="s">
        <v>258</v>
      </c>
      <c r="C27" s="268" t="s">
        <v>29</v>
      </c>
      <c r="D27" s="269">
        <f ca="1" t="shared" si="0"/>
        <v>599.1696665131533</v>
      </c>
      <c r="E27" s="170">
        <f ca="1" t="shared" si="9"/>
        <v>20.614207210796884</v>
      </c>
      <c r="F27" s="156">
        <f ca="1" t="shared" si="1"/>
        <v>596.9527339339547</v>
      </c>
      <c r="G27" s="156">
        <f ca="1" t="shared" si="2"/>
        <v>601.0204591483384</v>
      </c>
      <c r="H27" s="156">
        <f ca="1" t="shared" si="3"/>
        <v>601.0614413781163</v>
      </c>
      <c r="I27" s="156">
        <f ca="1" t="shared" si="10"/>
        <v>601.3069083394396</v>
      </c>
      <c r="J27" s="156">
        <f ca="1" t="shared" si="11"/>
        <v>601.8908296187273</v>
      </c>
      <c r="K27" s="6"/>
      <c r="M27" s="36">
        <f t="shared" si="4"/>
        <v>4.0677252143836995</v>
      </c>
      <c r="N27" s="36">
        <f t="shared" si="5"/>
        <v>0.040982229777910106</v>
      </c>
      <c r="O27" s="36">
        <f t="shared" si="12"/>
        <v>0.2864491911011555</v>
      </c>
      <c r="P27" s="36">
        <f t="shared" si="13"/>
        <v>0.8703704703888206</v>
      </c>
      <c r="U27" s="6"/>
      <c r="V27" s="271">
        <f ca="1" t="shared" si="6"/>
        <v>0</v>
      </c>
      <c r="W27" s="271">
        <f ca="1" t="shared" si="7"/>
        <v>0</v>
      </c>
      <c r="X27" s="271">
        <f ca="1" t="shared" si="8"/>
        <v>0</v>
      </c>
      <c r="Y27" s="271">
        <f ca="1" t="shared" si="14"/>
        <v>0</v>
      </c>
      <c r="Z27" s="271">
        <f ca="1" t="shared" si="15"/>
        <v>0</v>
      </c>
    </row>
    <row r="28" spans="2:26" ht="12">
      <c r="B28" s="19" t="s">
        <v>258</v>
      </c>
      <c r="C28" s="268" t="s">
        <v>30</v>
      </c>
      <c r="D28" s="269">
        <f ca="1" t="shared" si="0"/>
        <v>596.8209809841487</v>
      </c>
      <c r="E28" s="170">
        <f ca="1" t="shared" si="9"/>
        <v>12.300882376944475</v>
      </c>
      <c r="F28" s="156">
        <f ca="1" t="shared" si="1"/>
        <v>597.1437283878087</v>
      </c>
      <c r="G28" s="156">
        <f ca="1" t="shared" si="2"/>
        <v>597.9247306076722</v>
      </c>
      <c r="H28" s="156">
        <f ca="1" t="shared" si="3"/>
        <v>596.414961548721</v>
      </c>
      <c r="I28" s="156">
        <f ca="1" t="shared" si="10"/>
        <v>594.5922014906198</v>
      </c>
      <c r="J28" s="156">
        <f ca="1" t="shared" si="11"/>
        <v>594.1706596428447</v>
      </c>
      <c r="K28" s="6"/>
      <c r="M28" s="36">
        <f t="shared" si="4"/>
        <v>0.7810022198635806</v>
      </c>
      <c r="N28" s="36">
        <f t="shared" si="5"/>
        <v>-1.5097690589512922</v>
      </c>
      <c r="O28" s="36">
        <f t="shared" si="12"/>
        <v>-3.332529117052445</v>
      </c>
      <c r="P28" s="36">
        <f t="shared" si="13"/>
        <v>-3.7540709648275197</v>
      </c>
      <c r="U28" s="6"/>
      <c r="V28" s="271">
        <f ca="1" t="shared" si="6"/>
        <v>0</v>
      </c>
      <c r="W28" s="271">
        <f ca="1" t="shared" si="7"/>
        <v>0</v>
      </c>
      <c r="X28" s="271">
        <f ca="1" t="shared" si="8"/>
        <v>0</v>
      </c>
      <c r="Y28" s="271">
        <f ca="1" t="shared" si="14"/>
        <v>0</v>
      </c>
      <c r="Z28" s="271">
        <f ca="1" t="shared" si="15"/>
        <v>0</v>
      </c>
    </row>
    <row r="29" spans="2:26" ht="12">
      <c r="B29" s="19" t="s">
        <v>258</v>
      </c>
      <c r="C29" s="268" t="s">
        <v>31</v>
      </c>
      <c r="D29" s="269">
        <f ca="1" t="shared" si="0"/>
        <v>598.9209263565781</v>
      </c>
      <c r="E29" s="170">
        <f ca="1" t="shared" si="9"/>
        <v>5.748773233878294</v>
      </c>
      <c r="F29" s="156">
        <f ca="1" t="shared" si="1"/>
        <v>599.020059370157</v>
      </c>
      <c r="G29" s="156">
        <f ca="1" t="shared" si="2"/>
        <v>596.6752264203458</v>
      </c>
      <c r="H29" s="156">
        <f ca="1" t="shared" si="3"/>
        <v>601.6662438516965</v>
      </c>
      <c r="I29" s="156">
        <f ca="1" t="shared" si="10"/>
        <v>600.7070922978032</v>
      </c>
      <c r="J29" s="156">
        <f ca="1" t="shared" si="11"/>
        <v>598.308634312999</v>
      </c>
      <c r="K29" s="6"/>
      <c r="M29" s="36">
        <f t="shared" si="4"/>
        <v>-2.3448329498112344</v>
      </c>
      <c r="N29" s="36">
        <f t="shared" si="5"/>
        <v>4.99101743135077</v>
      </c>
      <c r="O29" s="36">
        <f t="shared" si="12"/>
        <v>4.031865877457449</v>
      </c>
      <c r="P29" s="36">
        <f t="shared" si="13"/>
        <v>1.6334078926531674</v>
      </c>
      <c r="U29" s="6"/>
      <c r="V29" s="271">
        <f ca="1" t="shared" si="6"/>
        <v>0</v>
      </c>
      <c r="W29" s="271">
        <f ca="1" t="shared" si="7"/>
        <v>0</v>
      </c>
      <c r="X29" s="271">
        <f ca="1" t="shared" si="8"/>
        <v>0</v>
      </c>
      <c r="Y29" s="271">
        <f ca="1" t="shared" si="14"/>
        <v>0</v>
      </c>
      <c r="Z29" s="271">
        <f ca="1" t="shared" si="15"/>
        <v>0</v>
      </c>
    </row>
    <row r="30" spans="2:26" ht="12">
      <c r="B30" s="19" t="s">
        <v>258</v>
      </c>
      <c r="C30" s="268" t="s">
        <v>32</v>
      </c>
      <c r="D30" s="269">
        <f ca="1" t="shared" si="0"/>
        <v>600.5063396961912</v>
      </c>
      <c r="E30" s="170">
        <f ca="1" t="shared" si="9"/>
        <v>13.018672907934118</v>
      </c>
      <c r="F30" s="156">
        <f ca="1" t="shared" si="1"/>
        <v>601.4298427401473</v>
      </c>
      <c r="G30" s="156">
        <f ca="1" t="shared" si="2"/>
        <v>598.343749709371</v>
      </c>
      <c r="H30" s="156">
        <f ca="1" t="shared" si="3"/>
        <v>597.4333355515105</v>
      </c>
      <c r="I30" s="156">
        <f ca="1" t="shared" si="10"/>
        <v>600.4661106795648</v>
      </c>
      <c r="J30" s="156">
        <f ca="1" t="shared" si="11"/>
        <v>600.7096301266176</v>
      </c>
      <c r="K30" s="6"/>
      <c r="M30" s="36">
        <f t="shared" si="4"/>
        <v>-3.086093030776283</v>
      </c>
      <c r="N30" s="36">
        <f t="shared" si="5"/>
        <v>-0.9104141578604867</v>
      </c>
      <c r="O30" s="36">
        <f t="shared" si="12"/>
        <v>2.1223609701938813</v>
      </c>
      <c r="P30" s="36">
        <f t="shared" si="13"/>
        <v>2.3658804172466716</v>
      </c>
      <c r="U30" s="6"/>
      <c r="V30" s="271">
        <f ca="1" t="shared" si="6"/>
        <v>0</v>
      </c>
      <c r="W30" s="271">
        <f ca="1" t="shared" si="7"/>
        <v>0</v>
      </c>
      <c r="X30" s="271">
        <f ca="1" t="shared" si="8"/>
        <v>0</v>
      </c>
      <c r="Y30" s="271">
        <f ca="1" t="shared" si="14"/>
        <v>0</v>
      </c>
      <c r="Z30" s="271">
        <f ca="1" t="shared" si="15"/>
        <v>0</v>
      </c>
    </row>
    <row r="31" spans="2:26" ht="12">
      <c r="B31" s="19" t="s">
        <v>258</v>
      </c>
      <c r="C31" s="268" t="s">
        <v>33</v>
      </c>
      <c r="D31" s="269">
        <f ca="1" t="shared" si="0"/>
        <v>600.5613214816591</v>
      </c>
      <c r="E31" s="170">
        <f ca="1" t="shared" si="9"/>
        <v>3.519598623849139</v>
      </c>
      <c r="F31" s="156">
        <f ca="1" t="shared" si="1"/>
        <v>598.5389933536394</v>
      </c>
      <c r="G31" s="156">
        <f ca="1" t="shared" si="2"/>
        <v>597.7420899330738</v>
      </c>
      <c r="H31" s="156">
        <f ca="1" t="shared" si="3"/>
        <v>603.0492456507459</v>
      </c>
      <c r="I31" s="156">
        <f ca="1" t="shared" si="10"/>
        <v>600.6282041196984</v>
      </c>
      <c r="J31" s="156">
        <f ca="1" t="shared" si="11"/>
        <v>602.2853182976647</v>
      </c>
      <c r="K31" s="6"/>
      <c r="M31" s="36">
        <f t="shared" si="4"/>
        <v>-0.7969034205656271</v>
      </c>
      <c r="N31" s="36">
        <f t="shared" si="5"/>
        <v>5.307155717672117</v>
      </c>
      <c r="O31" s="36">
        <f t="shared" si="12"/>
        <v>2.8861141866245816</v>
      </c>
      <c r="P31" s="36">
        <f t="shared" si="13"/>
        <v>4.543228364590959</v>
      </c>
      <c r="U31" s="6"/>
      <c r="V31" s="271">
        <f ca="1" t="shared" si="6"/>
        <v>0</v>
      </c>
      <c r="W31" s="271">
        <f ca="1" t="shared" si="7"/>
        <v>0</v>
      </c>
      <c r="X31" s="271">
        <f ca="1" t="shared" si="8"/>
        <v>0</v>
      </c>
      <c r="Y31" s="271">
        <f ca="1" t="shared" si="14"/>
        <v>0</v>
      </c>
      <c r="Z31" s="271">
        <f ca="1" t="shared" si="15"/>
        <v>0</v>
      </c>
    </row>
    <row r="32" spans="2:26" ht="12">
      <c r="B32" s="19" t="s">
        <v>258</v>
      </c>
      <c r="C32" s="268" t="s">
        <v>34</v>
      </c>
      <c r="D32" s="269">
        <f ca="1" t="shared" si="0"/>
        <v>598.9717229910526</v>
      </c>
      <c r="E32" s="170">
        <f ca="1" t="shared" si="9"/>
        <v>15.392149872141362</v>
      </c>
      <c r="F32" s="156">
        <f ca="1" t="shared" si="1"/>
        <v>597.4568527070181</v>
      </c>
      <c r="G32" s="156">
        <f ca="1" t="shared" si="2"/>
        <v>600.5034108487918</v>
      </c>
      <c r="H32" s="156">
        <f ca="1" t="shared" si="3"/>
        <v>599.0252239888731</v>
      </c>
      <c r="I32" s="156">
        <f ca="1" t="shared" si="10"/>
        <v>598.6509229298733</v>
      </c>
      <c r="J32" s="156">
        <f ca="1" t="shared" si="11"/>
        <v>599.1645922412546</v>
      </c>
      <c r="K32" s="6"/>
      <c r="M32" s="36">
        <f t="shared" si="4"/>
        <v>3.0465581417736303</v>
      </c>
      <c r="N32" s="36">
        <f t="shared" si="5"/>
        <v>-1.478186859918651</v>
      </c>
      <c r="O32" s="36">
        <f t="shared" si="12"/>
        <v>-1.8524879189184276</v>
      </c>
      <c r="P32" s="36">
        <f t="shared" si="13"/>
        <v>-1.3388186075371777</v>
      </c>
      <c r="U32" s="6"/>
      <c r="V32" s="271">
        <f ca="1" t="shared" si="6"/>
        <v>0</v>
      </c>
      <c r="W32" s="271">
        <f ca="1" t="shared" si="7"/>
        <v>0</v>
      </c>
      <c r="X32" s="271">
        <f ca="1" t="shared" si="8"/>
        <v>0</v>
      </c>
      <c r="Y32" s="271">
        <f ca="1" t="shared" si="14"/>
        <v>0</v>
      </c>
      <c r="Z32" s="271">
        <f ca="1" t="shared" si="15"/>
        <v>0</v>
      </c>
    </row>
    <row r="33" spans="2:26" ht="12">
      <c r="B33" s="19" t="s">
        <v>258</v>
      </c>
      <c r="C33" s="268" t="s">
        <v>35</v>
      </c>
      <c r="D33" s="269">
        <f ca="1" t="shared" si="0"/>
        <v>599.6084209994476</v>
      </c>
      <c r="E33" s="170">
        <f ca="1" t="shared" si="9"/>
        <v>3.043201538708355</v>
      </c>
      <c r="F33" s="156">
        <f ca="1" t="shared" si="1"/>
        <v>598.5825209431056</v>
      </c>
      <c r="G33" s="156">
        <f ca="1" t="shared" si="2"/>
        <v>600.1023647824725</v>
      </c>
      <c r="H33" s="156">
        <f ca="1" t="shared" si="3"/>
        <v>601.5865696409003</v>
      </c>
      <c r="I33" s="156">
        <f ca="1" t="shared" si="10"/>
        <v>598.0574204086199</v>
      </c>
      <c r="J33" s="156">
        <f ca="1" t="shared" si="11"/>
        <v>602.0840449158666</v>
      </c>
      <c r="K33" s="6"/>
      <c r="M33" s="36">
        <f t="shared" si="4"/>
        <v>1.5198438393668994</v>
      </c>
      <c r="N33" s="36">
        <f t="shared" si="5"/>
        <v>1.4842048584278018</v>
      </c>
      <c r="O33" s="36">
        <f t="shared" si="12"/>
        <v>-2.044944373852559</v>
      </c>
      <c r="P33" s="36">
        <f t="shared" si="13"/>
        <v>1.981680133394093</v>
      </c>
      <c r="U33" s="6"/>
      <c r="V33" s="271">
        <f ca="1" t="shared" si="6"/>
        <v>0</v>
      </c>
      <c r="W33" s="271">
        <f ca="1" t="shared" si="7"/>
        <v>0</v>
      </c>
      <c r="X33" s="271">
        <f ca="1" t="shared" si="8"/>
        <v>0</v>
      </c>
      <c r="Y33" s="271">
        <f ca="1" t="shared" si="14"/>
        <v>0</v>
      </c>
      <c r="Z33" s="271">
        <f ca="1" t="shared" si="15"/>
        <v>0</v>
      </c>
    </row>
    <row r="34" spans="2:26" ht="12">
      <c r="B34" s="19" t="s">
        <v>258</v>
      </c>
      <c r="C34" s="268" t="s">
        <v>36</v>
      </c>
      <c r="D34" s="269">
        <f ca="1" t="shared" si="0"/>
        <v>597.7124661281545</v>
      </c>
      <c r="E34" s="170">
        <f ca="1" t="shared" si="9"/>
        <v>7.440155409003706</v>
      </c>
      <c r="F34" s="156">
        <f ca="1" t="shared" si="1"/>
        <v>595.8602415456036</v>
      </c>
      <c r="G34" s="156">
        <f ca="1" t="shared" si="2"/>
        <v>601.2088689210087</v>
      </c>
      <c r="H34" s="156">
        <f ca="1" t="shared" si="3"/>
        <v>601.4028571305147</v>
      </c>
      <c r="I34" s="156">
        <f ca="1" t="shared" si="10"/>
        <v>599.9405929731936</v>
      </c>
      <c r="J34" s="156">
        <f ca="1" t="shared" si="11"/>
        <v>598.0882404201944</v>
      </c>
      <c r="K34" s="6"/>
      <c r="M34" s="36">
        <f t="shared" si="4"/>
        <v>5.348627375405158</v>
      </c>
      <c r="N34" s="36">
        <f t="shared" si="5"/>
        <v>0.19398820950596019</v>
      </c>
      <c r="O34" s="36">
        <f t="shared" si="12"/>
        <v>-1.268275947815141</v>
      </c>
      <c r="P34" s="36">
        <f t="shared" si="13"/>
        <v>-3.1206285008142913</v>
      </c>
      <c r="U34" s="6"/>
      <c r="V34" s="271">
        <f ca="1" t="shared" si="6"/>
        <v>0</v>
      </c>
      <c r="W34" s="271">
        <f ca="1" t="shared" si="7"/>
        <v>0</v>
      </c>
      <c r="X34" s="271">
        <f ca="1" t="shared" si="8"/>
        <v>0</v>
      </c>
      <c r="Y34" s="271">
        <f ca="1" t="shared" si="14"/>
        <v>0</v>
      </c>
      <c r="Z34" s="271">
        <f ca="1" t="shared" si="15"/>
        <v>0</v>
      </c>
    </row>
    <row r="35" spans="2:26" ht="12">
      <c r="B35" s="19" t="s">
        <v>258</v>
      </c>
      <c r="C35" s="268" t="s">
        <v>37</v>
      </c>
      <c r="D35" s="269">
        <f ca="1" t="shared" si="0"/>
        <v>598.2340832540654</v>
      </c>
      <c r="E35" s="170">
        <f ca="1" t="shared" si="9"/>
        <v>7.5145322065683455</v>
      </c>
      <c r="F35" s="156">
        <f ca="1" t="shared" si="1"/>
        <v>597.8436756917049</v>
      </c>
      <c r="G35" s="156">
        <f ca="1" t="shared" si="2"/>
        <v>598.023210117915</v>
      </c>
      <c r="H35" s="156">
        <f ca="1" t="shared" si="3"/>
        <v>600.8518857958026</v>
      </c>
      <c r="I35" s="156">
        <f ca="1" t="shared" si="10"/>
        <v>596.6779231724431</v>
      </c>
      <c r="J35" s="156">
        <f ca="1" t="shared" si="11"/>
        <v>597.0044284004775</v>
      </c>
      <c r="K35" s="6"/>
      <c r="M35" s="36">
        <f t="shared" si="4"/>
        <v>0.17953442621012528</v>
      </c>
      <c r="N35" s="36">
        <f t="shared" si="5"/>
        <v>2.8286756778875315</v>
      </c>
      <c r="O35" s="36">
        <f t="shared" si="12"/>
        <v>-1.345286945471912</v>
      </c>
      <c r="P35" s="36">
        <f t="shared" si="13"/>
        <v>-1.0187817174374914</v>
      </c>
      <c r="U35" s="6"/>
      <c r="V35" s="271">
        <f ca="1" t="shared" si="6"/>
        <v>0</v>
      </c>
      <c r="W35" s="271">
        <f ca="1" t="shared" si="7"/>
        <v>0</v>
      </c>
      <c r="X35" s="271">
        <f ca="1" t="shared" si="8"/>
        <v>0</v>
      </c>
      <c r="Y35" s="271">
        <f ca="1" t="shared" si="14"/>
        <v>0</v>
      </c>
      <c r="Z35" s="271">
        <f ca="1" t="shared" si="15"/>
        <v>0</v>
      </c>
    </row>
    <row r="36" spans="2:26" ht="12">
      <c r="B36" s="19" t="s">
        <v>258</v>
      </c>
      <c r="C36" s="268" t="s">
        <v>38</v>
      </c>
      <c r="D36" s="269">
        <f ca="1" t="shared" si="0"/>
        <v>598.5447746326817</v>
      </c>
      <c r="E36" s="170">
        <f ca="1" t="shared" si="9"/>
        <v>8.991213126803618</v>
      </c>
      <c r="F36" s="156">
        <f ca="1" t="shared" si="1"/>
        <v>597.8655717007249</v>
      </c>
      <c r="G36" s="156">
        <f ca="1" t="shared" si="2"/>
        <v>597.0662358184982</v>
      </c>
      <c r="H36" s="156">
        <f ca="1" t="shared" si="3"/>
        <v>601.706985299586</v>
      </c>
      <c r="I36" s="156">
        <f ca="1" t="shared" si="10"/>
        <v>599.8275193336157</v>
      </c>
      <c r="J36" s="156">
        <f ca="1" t="shared" si="11"/>
        <v>597.2704722708788</v>
      </c>
      <c r="K36" s="6"/>
      <c r="M36" s="36">
        <f t="shared" si="4"/>
        <v>-0.7993358822267282</v>
      </c>
      <c r="N36" s="36">
        <f t="shared" si="5"/>
        <v>4.640749481087823</v>
      </c>
      <c r="O36" s="36">
        <f t="shared" si="12"/>
        <v>2.7612835151174977</v>
      </c>
      <c r="P36" s="36">
        <f t="shared" si="13"/>
        <v>0.20423645238065546</v>
      </c>
      <c r="U36" s="6"/>
      <c r="V36" s="271">
        <f ca="1" t="shared" si="6"/>
        <v>0</v>
      </c>
      <c r="W36" s="271">
        <f ca="1" t="shared" si="7"/>
        <v>0</v>
      </c>
      <c r="X36" s="271">
        <f ca="1" t="shared" si="8"/>
        <v>0</v>
      </c>
      <c r="Y36" s="271">
        <f ca="1" t="shared" si="14"/>
        <v>0</v>
      </c>
      <c r="Z36" s="271">
        <f ca="1" t="shared" si="15"/>
        <v>0</v>
      </c>
    </row>
    <row r="37" spans="2:26" ht="12">
      <c r="B37" s="19" t="s">
        <v>258</v>
      </c>
      <c r="C37" s="268" t="s">
        <v>238</v>
      </c>
      <c r="D37" s="269">
        <f ca="1" t="shared" si="0"/>
        <v>599.5494988106118</v>
      </c>
      <c r="E37" s="170">
        <f ca="1" t="shared" si="9"/>
        <v>8.682797667224632</v>
      </c>
      <c r="F37" s="156">
        <f ca="1" t="shared" si="1"/>
        <v>599.3458381489402</v>
      </c>
      <c r="G37" s="156">
        <f ca="1" t="shared" si="2"/>
        <v>599.4272706370765</v>
      </c>
      <c r="H37" s="156">
        <f ca="1" t="shared" si="3"/>
        <v>598.0085684214683</v>
      </c>
      <c r="I37" s="156">
        <f ca="1" t="shared" si="10"/>
        <v>600.6212412370621</v>
      </c>
      <c r="J37" s="156">
        <f ca="1" t="shared" si="11"/>
        <v>598.6842806457183</v>
      </c>
      <c r="K37" s="6"/>
      <c r="M37" s="36">
        <f t="shared" si="4"/>
        <v>0.08143248813632908</v>
      </c>
      <c r="N37" s="36">
        <f t="shared" si="5"/>
        <v>-1.418702215608164</v>
      </c>
      <c r="O37" s="36">
        <f t="shared" si="12"/>
        <v>1.1939705999856187</v>
      </c>
      <c r="P37" s="36">
        <f t="shared" si="13"/>
        <v>-0.7429899913581721</v>
      </c>
      <c r="U37" s="6"/>
      <c r="V37" s="271">
        <f ca="1" t="shared" si="6"/>
        <v>0</v>
      </c>
      <c r="W37" s="271">
        <f ca="1" t="shared" si="7"/>
        <v>0</v>
      </c>
      <c r="X37" s="271">
        <f ca="1" t="shared" si="8"/>
        <v>0</v>
      </c>
      <c r="Y37" s="271">
        <f ca="1" t="shared" si="14"/>
        <v>0</v>
      </c>
      <c r="Z37" s="271">
        <f ca="1" t="shared" si="15"/>
        <v>0</v>
      </c>
    </row>
    <row r="38" spans="2:26" ht="12">
      <c r="B38" s="19" t="s">
        <v>258</v>
      </c>
      <c r="C38" s="268" t="s">
        <v>39</v>
      </c>
      <c r="D38" s="269">
        <f ca="1" t="shared" si="0"/>
        <v>596.8013077167151</v>
      </c>
      <c r="E38" s="170">
        <f ca="1" t="shared" si="9"/>
        <v>8.195561072462477</v>
      </c>
      <c r="F38" s="156">
        <f ca="1" t="shared" si="1"/>
        <v>596.5600347506835</v>
      </c>
      <c r="G38" s="156">
        <f ca="1" t="shared" si="2"/>
        <v>594.9120487244887</v>
      </c>
      <c r="H38" s="156">
        <f ca="1" t="shared" si="3"/>
        <v>597.5269517248174</v>
      </c>
      <c r="I38" s="156">
        <f ca="1" t="shared" si="10"/>
        <v>594.3487924972051</v>
      </c>
      <c r="J38" s="156">
        <f ca="1" t="shared" si="11"/>
        <v>594.710786552992</v>
      </c>
      <c r="K38" s="6"/>
      <c r="M38" s="36">
        <f t="shared" si="4"/>
        <v>-1.6479860261947579</v>
      </c>
      <c r="N38" s="36">
        <f t="shared" si="5"/>
        <v>2.6149030003286953</v>
      </c>
      <c r="O38" s="36">
        <f t="shared" si="12"/>
        <v>-0.5632562272836594</v>
      </c>
      <c r="P38" s="36">
        <f t="shared" si="13"/>
        <v>-0.20126217149675085</v>
      </c>
      <c r="U38" s="6"/>
      <c r="V38" s="271">
        <f ca="1" t="shared" si="6"/>
        <v>0</v>
      </c>
      <c r="W38" s="271">
        <f ca="1" t="shared" si="7"/>
        <v>0</v>
      </c>
      <c r="X38" s="271">
        <f ca="1" t="shared" si="8"/>
        <v>0</v>
      </c>
      <c r="Y38" s="271">
        <f ca="1" t="shared" si="14"/>
        <v>0</v>
      </c>
      <c r="Z38" s="271">
        <f ca="1" t="shared" si="15"/>
        <v>0</v>
      </c>
    </row>
    <row r="39" spans="2:26" ht="12">
      <c r="B39" s="19" t="s">
        <v>258</v>
      </c>
      <c r="C39" s="268" t="s">
        <v>40</v>
      </c>
      <c r="D39" s="269">
        <f ca="1" t="shared" si="0"/>
        <v>600.2340334181275</v>
      </c>
      <c r="E39" s="170">
        <f ca="1" t="shared" si="9"/>
        <v>7.254184891481147</v>
      </c>
      <c r="F39" s="156">
        <f ca="1" t="shared" si="1"/>
        <v>600.8397611372878</v>
      </c>
      <c r="G39" s="156">
        <f ca="1" t="shared" si="2"/>
        <v>599.5117820174596</v>
      </c>
      <c r="H39" s="156">
        <f ca="1" t="shared" si="3"/>
        <v>599.6275278179098</v>
      </c>
      <c r="I39" s="156">
        <f ca="1" t="shared" si="10"/>
        <v>600.8145107118515</v>
      </c>
      <c r="J39" s="156">
        <f ca="1" t="shared" si="11"/>
        <v>599.7088870650539</v>
      </c>
      <c r="K39" s="6"/>
      <c r="M39" s="36">
        <f t="shared" si="4"/>
        <v>-1.3279791198282282</v>
      </c>
      <c r="N39" s="36">
        <f t="shared" si="5"/>
        <v>0.11574580045021321</v>
      </c>
      <c r="O39" s="36">
        <f t="shared" si="12"/>
        <v>1.3027286943919307</v>
      </c>
      <c r="P39" s="36">
        <f t="shared" si="13"/>
        <v>0.1971050475942775</v>
      </c>
      <c r="U39" s="6"/>
      <c r="V39" s="271">
        <f ca="1" t="shared" si="6"/>
        <v>0</v>
      </c>
      <c r="W39" s="271">
        <f ca="1" t="shared" si="7"/>
        <v>0</v>
      </c>
      <c r="X39" s="271">
        <f ca="1" t="shared" si="8"/>
        <v>0</v>
      </c>
      <c r="Y39" s="271">
        <f ca="1" t="shared" si="14"/>
        <v>0</v>
      </c>
      <c r="Z39" s="271">
        <f ca="1" t="shared" si="15"/>
        <v>0</v>
      </c>
    </row>
    <row r="40" ht="12">
      <c r="D40" s="185"/>
    </row>
    <row r="41" spans="3:26" ht="12">
      <c r="C41" s="251" t="s">
        <v>4</v>
      </c>
      <c r="D41" s="281">
        <f aca="true" t="shared" si="16" ref="D41:J41">AVERAGE(D20:D39)</f>
        <v>599.0028382611201</v>
      </c>
      <c r="E41" s="42">
        <f t="shared" si="16"/>
        <v>9.868783253264606</v>
      </c>
      <c r="F41" s="42">
        <f t="shared" si="16"/>
        <v>598.510938641</v>
      </c>
      <c r="G41" s="42">
        <f t="shared" si="16"/>
        <v>598.7762875106017</v>
      </c>
      <c r="H41" s="42">
        <f t="shared" si="16"/>
        <v>600.275447264631</v>
      </c>
      <c r="I41" s="42">
        <f>AVERAGE(I20:I39)</f>
        <v>598.8100473543105</v>
      </c>
      <c r="J41" s="42">
        <f t="shared" si="16"/>
        <v>599.176551079724</v>
      </c>
      <c r="K41" s="6"/>
      <c r="U41" s="6"/>
      <c r="W41" s="6"/>
      <c r="Y41" s="2"/>
      <c r="Z41" s="2"/>
    </row>
    <row r="42" spans="3:26" ht="12">
      <c r="C42" s="251" t="s">
        <v>2</v>
      </c>
      <c r="D42" s="281">
        <f aca="true" t="shared" si="17" ref="D42:J42">STDEV(D20:D39)</f>
        <v>1.0894040445249293</v>
      </c>
      <c r="E42" s="42">
        <f t="shared" si="17"/>
        <v>4.60931069374275</v>
      </c>
      <c r="F42" s="42">
        <f t="shared" si="17"/>
        <v>1.8821753354510673</v>
      </c>
      <c r="G42" s="42">
        <f t="shared" si="17"/>
        <v>1.6451646509425166</v>
      </c>
      <c r="H42" s="42">
        <f t="shared" si="17"/>
        <v>2.0675956511361195</v>
      </c>
      <c r="I42" s="42">
        <f>STDEV(I20:I39)</f>
        <v>2.148498504918501</v>
      </c>
      <c r="J42" s="42">
        <f t="shared" si="17"/>
        <v>2.429717945864883</v>
      </c>
      <c r="K42" s="6"/>
      <c r="U42" s="6"/>
      <c r="W42" s="6"/>
      <c r="Y42" s="2"/>
      <c r="Z42" s="2"/>
    </row>
    <row r="44" spans="4:23" ht="12">
      <c r="D44" s="272" t="s">
        <v>250</v>
      </c>
      <c r="E44" s="272" t="s">
        <v>248</v>
      </c>
      <c r="F44" s="272" t="s">
        <v>240</v>
      </c>
      <c r="G44" s="272" t="s">
        <v>243</v>
      </c>
      <c r="H44" s="272" t="s">
        <v>246</v>
      </c>
      <c r="I44" s="272" t="s">
        <v>247</v>
      </c>
      <c r="J44" s="328" t="s">
        <v>342</v>
      </c>
      <c r="U44" s="4"/>
      <c r="W44" s="4"/>
    </row>
    <row r="45" spans="4:10" ht="24.75">
      <c r="D45" s="273" t="s">
        <v>241</v>
      </c>
      <c r="E45" s="273" t="s">
        <v>249</v>
      </c>
      <c r="F45" s="273" t="s">
        <v>166</v>
      </c>
      <c r="G45" s="273" t="s">
        <v>166</v>
      </c>
      <c r="H45" s="273" t="s">
        <v>166</v>
      </c>
      <c r="I45" s="273" t="s">
        <v>166</v>
      </c>
      <c r="J45" s="273" t="s">
        <v>166</v>
      </c>
    </row>
    <row r="46" spans="4:10" ht="14.25">
      <c r="D46" s="274">
        <f>D12</f>
        <v>599.1464547107981</v>
      </c>
      <c r="E46" s="274">
        <f>E12</f>
        <v>10</v>
      </c>
      <c r="F46" s="275">
        <v>0</v>
      </c>
      <c r="G46" s="275">
        <v>0</v>
      </c>
      <c r="H46" s="275">
        <v>2</v>
      </c>
      <c r="I46" s="275">
        <v>1</v>
      </c>
      <c r="J46" s="275">
        <v>0</v>
      </c>
    </row>
    <row r="47" spans="4:10" ht="24.75">
      <c r="D47" s="273" t="s">
        <v>242</v>
      </c>
      <c r="E47" s="273" t="s">
        <v>242</v>
      </c>
      <c r="F47" s="273" t="s">
        <v>245</v>
      </c>
      <c r="G47" s="273" t="s">
        <v>245</v>
      </c>
      <c r="H47" s="273" t="s">
        <v>245</v>
      </c>
      <c r="I47" s="273" t="s">
        <v>245</v>
      </c>
      <c r="J47" s="273" t="s">
        <v>245</v>
      </c>
    </row>
    <row r="48" spans="4:10" ht="14.25">
      <c r="D48" s="274">
        <f aca="true" t="shared" si="18" ref="D48:J48">D14</f>
        <v>1</v>
      </c>
      <c r="E48" s="274">
        <f t="shared" si="18"/>
        <v>4</v>
      </c>
      <c r="F48" s="274">
        <f t="shared" si="18"/>
        <v>1.5</v>
      </c>
      <c r="G48" s="274">
        <f t="shared" si="18"/>
        <v>1.5</v>
      </c>
      <c r="H48" s="274">
        <f t="shared" si="18"/>
        <v>1.5</v>
      </c>
      <c r="I48" s="274">
        <f>I14</f>
        <v>1.5</v>
      </c>
      <c r="J48" s="274">
        <f t="shared" si="18"/>
        <v>1.5</v>
      </c>
    </row>
    <row r="49" spans="4:10" ht="25.5">
      <c r="D49" s="276"/>
      <c r="E49" s="273" t="s">
        <v>265</v>
      </c>
      <c r="F49" s="273" t="s">
        <v>244</v>
      </c>
      <c r="G49" s="273" t="s">
        <v>244</v>
      </c>
      <c r="H49" s="273" t="s">
        <v>244</v>
      </c>
      <c r="I49" s="273" t="s">
        <v>244</v>
      </c>
      <c r="J49" s="273" t="s">
        <v>244</v>
      </c>
    </row>
    <row r="50" spans="4:10" ht="14.25">
      <c r="D50" s="277"/>
      <c r="E50" s="274">
        <f>E16</f>
        <v>-0.8</v>
      </c>
      <c r="F50" s="275">
        <v>0</v>
      </c>
      <c r="G50" s="275">
        <v>0</v>
      </c>
      <c r="H50" s="275">
        <v>2</v>
      </c>
      <c r="I50" s="275">
        <v>1</v>
      </c>
      <c r="J50" s="275">
        <v>0</v>
      </c>
    </row>
    <row r="51" spans="2:26" ht="25.5">
      <c r="B51" s="278" t="str">
        <f>B19</f>
        <v>Group</v>
      </c>
      <c r="C51" s="278" t="str">
        <f aca="true" t="shared" si="19" ref="C51:J51">C19</f>
        <v>Subject</v>
      </c>
      <c r="D51" s="278" t="str">
        <f>D19</f>
        <v>True Y</v>
      </c>
      <c r="E51" s="278" t="str">
        <f t="shared" si="19"/>
        <v>X</v>
      </c>
      <c r="F51" s="278" t="str">
        <f t="shared" si="19"/>
        <v> Ypre1</v>
      </c>
      <c r="G51" s="278" t="str">
        <f t="shared" si="19"/>
        <v> Ypre2</v>
      </c>
      <c r="H51" s="278" t="str">
        <f t="shared" si="19"/>
        <v> Ypost1</v>
      </c>
      <c r="I51" s="278" t="str">
        <f>I19</f>
        <v>Ypost2</v>
      </c>
      <c r="J51" s="278" t="str">
        <f t="shared" si="19"/>
        <v>Ypost3</v>
      </c>
      <c r="M51" s="110" t="str">
        <f>M19</f>
        <v>Y pre2-pre1</v>
      </c>
      <c r="N51" s="110" t="str">
        <f>N19</f>
        <v>Y post1
-pre2</v>
      </c>
      <c r="O51" s="110" t="str">
        <f>O19</f>
        <v>Y post2
-pre2</v>
      </c>
      <c r="P51" s="110" t="str">
        <f>P19</f>
        <v>Y post3
-pre2</v>
      </c>
      <c r="V51" s="280" t="s">
        <v>266</v>
      </c>
      <c r="W51" s="280" t="s">
        <v>267</v>
      </c>
      <c r="X51" s="280" t="s">
        <v>268</v>
      </c>
      <c r="Y51" s="280" t="s">
        <v>269</v>
      </c>
      <c r="Z51" s="280" t="s">
        <v>269</v>
      </c>
    </row>
    <row r="52" spans="2:26" ht="12">
      <c r="B52" s="22" t="s">
        <v>259</v>
      </c>
      <c r="C52" s="22" t="s">
        <v>46</v>
      </c>
      <c r="D52" s="279">
        <f aca="true" ca="1" t="shared" si="20" ref="D52:D71">D$46+D$48*NORMSINV(RAND())</f>
        <v>598.2976637869225</v>
      </c>
      <c r="E52" s="122">
        <f aca="true" ca="1" t="shared" si="21" ref="E52:E71">$E$46+$E$48*NORMSINV(RAND())</f>
        <v>10.256622435850995</v>
      </c>
      <c r="F52" s="122">
        <f aca="true" ca="1" t="shared" si="22" ref="F52:F71">D52+F$46+V52+F$48*NORMSINV(RAND())</f>
        <v>598.4918006970624</v>
      </c>
      <c r="G52" s="122">
        <f aca="true" ca="1" t="shared" si="23" ref="G52:G71">D52+G$46+W52+G$48*NORMSINV(RAND())</f>
        <v>598.2349350632821</v>
      </c>
      <c r="H52" s="122">
        <f aca="true" ca="1" t="shared" si="24" ref="H52:H71">D52+H$46+X52+H$48*NORMSINV(RAND())</f>
        <v>597.5979326937668</v>
      </c>
      <c r="I52" s="122">
        <f ca="1">D52+I$46+Y52+I$48*NORMSINV(RAND())</f>
        <v>601.2231691970593</v>
      </c>
      <c r="J52" s="122">
        <f ca="1">D52+J$46+Z52+J$48*NORMSINV(RAND())</f>
        <v>597.4285368517229</v>
      </c>
      <c r="M52" s="122">
        <f aca="true" t="shared" si="25" ref="M52:M71">G52-F52</f>
        <v>-0.2568656337803077</v>
      </c>
      <c r="N52" s="122">
        <f aca="true" t="shared" si="26" ref="N52:N71">H52-G52</f>
        <v>-0.6370023695153577</v>
      </c>
      <c r="O52" s="122">
        <f>I52-G52</f>
        <v>2.988234133777155</v>
      </c>
      <c r="P52" s="122">
        <f>J52-G52</f>
        <v>-0.8063982115592125</v>
      </c>
      <c r="V52" s="279">
        <f aca="true" ca="1" t="shared" si="27" ref="V52:V71">F$50*($E$50*(E52-$E$46)/$E$48+SQRT(1-$E$50^2)*NORMSINV(RAND()))</f>
        <v>0</v>
      </c>
      <c r="W52" s="279">
        <f aca="true" ca="1" t="shared" si="28" ref="W52:W71">G$50*($E$50*(E52-$E$46)/$E$48+SQRT(1-$E$50^2)*NORMSINV(RAND()))</f>
        <v>0</v>
      </c>
      <c r="X52" s="279">
        <f aca="true" ca="1" t="shared" si="29" ref="X52:X71">H$50*($E$50*(E52-$E$46)/$E$48+SQRT(1-$E$50^2)*NORMSINV(RAND()))</f>
        <v>0.389755527408334</v>
      </c>
      <c r="Y52" s="279">
        <f ca="1">I$50*($E$50*(E52-$E$46)/$E$48+SQRT(1-$E$50^2)*NORMSINV(RAND()))</f>
        <v>0.33157979916177216</v>
      </c>
      <c r="Z52" s="279">
        <f ca="1">J$50*($E$50*(E52-$E$46)/$E$48+SQRT(1-$E$50^2)*NORMSINV(RAND()))</f>
        <v>0</v>
      </c>
    </row>
    <row r="53" spans="2:26" ht="12">
      <c r="B53" s="22" t="s">
        <v>259</v>
      </c>
      <c r="C53" s="22" t="s">
        <v>47</v>
      </c>
      <c r="D53" s="279">
        <f ca="1" t="shared" si="20"/>
        <v>599.4135872920159</v>
      </c>
      <c r="E53" s="122">
        <f ca="1" t="shared" si="21"/>
        <v>0.453695821244688</v>
      </c>
      <c r="F53" s="122">
        <f ca="1" t="shared" si="22"/>
        <v>598.4501299423664</v>
      </c>
      <c r="G53" s="122">
        <f ca="1" t="shared" si="23"/>
        <v>599.244230716942</v>
      </c>
      <c r="H53" s="122">
        <f ca="1" t="shared" si="24"/>
        <v>607.4649946375323</v>
      </c>
      <c r="I53" s="122">
        <f aca="true" ca="1" t="shared" si="30" ref="I53:I71">D53+I$46+Y53+I$48*NORMSINV(RAND())</f>
        <v>602.6741289809185</v>
      </c>
      <c r="J53" s="122">
        <f aca="true" ca="1" t="shared" si="31" ref="J53:J71">D53+J$46+Z53+J$48*NORMSINV(RAND())</f>
        <v>601.1356472913798</v>
      </c>
      <c r="M53" s="122">
        <f t="shared" si="25"/>
        <v>0.7941007745755542</v>
      </c>
      <c r="N53" s="122">
        <f t="shared" si="26"/>
        <v>8.220763920590343</v>
      </c>
      <c r="O53" s="122">
        <f aca="true" t="shared" si="32" ref="O53:O71">I53-G53</f>
        <v>3.429898263976497</v>
      </c>
      <c r="P53" s="122">
        <f aca="true" t="shared" si="33" ref="P53:P71">J53-G53</f>
        <v>1.8914165744378124</v>
      </c>
      <c r="V53" s="279">
        <f ca="1" t="shared" si="27"/>
        <v>0</v>
      </c>
      <c r="W53" s="279">
        <f ca="1" t="shared" si="28"/>
        <v>0</v>
      </c>
      <c r="X53" s="279">
        <f ca="1" t="shared" si="29"/>
        <v>5.630018550705337</v>
      </c>
      <c r="Y53" s="279">
        <f aca="true" ca="1" t="shared" si="34" ref="Y53:Y71">I$50*($E$50*(E53-$E$46)/$E$48+SQRT(1-$E$50^2)*NORMSINV(RAND()))</f>
        <v>2.1826727287206187</v>
      </c>
      <c r="Z53" s="279">
        <f aca="true" ca="1" t="shared" si="35" ref="Z53:Z71">J$50*($E$50*(E53-$E$46)/$E$48+SQRT(1-$E$50^2)*NORMSINV(RAND()))</f>
        <v>0</v>
      </c>
    </row>
    <row r="54" spans="2:26" ht="12">
      <c r="B54" s="22" t="s">
        <v>259</v>
      </c>
      <c r="C54" s="22" t="s">
        <v>48</v>
      </c>
      <c r="D54" s="279">
        <f ca="1" t="shared" si="20"/>
        <v>599.2824902353832</v>
      </c>
      <c r="E54" s="122">
        <f ca="1" t="shared" si="21"/>
        <v>10.01478596466017</v>
      </c>
      <c r="F54" s="122">
        <f ca="1" t="shared" si="22"/>
        <v>604.217728631538</v>
      </c>
      <c r="G54" s="122">
        <f ca="1" t="shared" si="23"/>
        <v>601.2203618640464</v>
      </c>
      <c r="H54" s="122">
        <f ca="1" t="shared" si="24"/>
        <v>601.9338038095946</v>
      </c>
      <c r="I54" s="122">
        <f ca="1" t="shared" si="30"/>
        <v>596.2601869075281</v>
      </c>
      <c r="J54" s="122">
        <f ca="1" t="shared" si="31"/>
        <v>599.9102348783666</v>
      </c>
      <c r="M54" s="122">
        <f t="shared" si="25"/>
        <v>-2.9973667674915987</v>
      </c>
      <c r="N54" s="122">
        <f t="shared" si="26"/>
        <v>0.7134419455481975</v>
      </c>
      <c r="O54" s="122">
        <f t="shared" si="32"/>
        <v>-4.9601749565182445</v>
      </c>
      <c r="P54" s="122">
        <f t="shared" si="33"/>
        <v>-1.3101269856797444</v>
      </c>
      <c r="V54" s="279">
        <f ca="1" t="shared" si="27"/>
        <v>0</v>
      </c>
      <c r="W54" s="279">
        <f ca="1" t="shared" si="28"/>
        <v>0</v>
      </c>
      <c r="X54" s="279">
        <f ca="1" t="shared" si="29"/>
        <v>1.0114467146453159</v>
      </c>
      <c r="Y54" s="279">
        <f ca="1" t="shared" si="34"/>
        <v>0.3587406159812841</v>
      </c>
      <c r="Z54" s="279">
        <f ca="1" t="shared" si="35"/>
        <v>0</v>
      </c>
    </row>
    <row r="55" spans="2:26" ht="12">
      <c r="B55" s="22" t="s">
        <v>259</v>
      </c>
      <c r="C55" s="22" t="s">
        <v>49</v>
      </c>
      <c r="D55" s="279">
        <f ca="1" t="shared" si="20"/>
        <v>600.1704185475896</v>
      </c>
      <c r="E55" s="122">
        <f ca="1" t="shared" si="21"/>
        <v>5.847667684652624</v>
      </c>
      <c r="F55" s="122">
        <f ca="1" t="shared" si="22"/>
        <v>599.7006138224499</v>
      </c>
      <c r="G55" s="122">
        <f ca="1" t="shared" si="23"/>
        <v>602.2773756747961</v>
      </c>
      <c r="H55" s="122">
        <f ca="1" t="shared" si="24"/>
        <v>602.9114626076488</v>
      </c>
      <c r="I55" s="122">
        <f ca="1" t="shared" si="30"/>
        <v>603.8664576452943</v>
      </c>
      <c r="J55" s="122">
        <f ca="1" t="shared" si="31"/>
        <v>601.7505235175234</v>
      </c>
      <c r="M55" s="122">
        <f t="shared" si="25"/>
        <v>2.5767618523461806</v>
      </c>
      <c r="N55" s="122">
        <f t="shared" si="26"/>
        <v>0.6340869328527106</v>
      </c>
      <c r="O55" s="122">
        <f t="shared" si="32"/>
        <v>1.5890819704982277</v>
      </c>
      <c r="P55" s="122">
        <f t="shared" si="33"/>
        <v>-0.5268521572726286</v>
      </c>
      <c r="V55" s="279">
        <f ca="1" t="shared" si="27"/>
        <v>0</v>
      </c>
      <c r="W55" s="279">
        <f ca="1" t="shared" si="28"/>
        <v>0</v>
      </c>
      <c r="X55" s="279">
        <f ca="1" t="shared" si="29"/>
        <v>0.6944786297953336</v>
      </c>
      <c r="Y55" s="279">
        <f ca="1" t="shared" si="34"/>
        <v>1.2842083280413779</v>
      </c>
      <c r="Z55" s="279">
        <f ca="1" t="shared" si="35"/>
        <v>0</v>
      </c>
    </row>
    <row r="56" spans="2:26" ht="12">
      <c r="B56" s="22" t="s">
        <v>259</v>
      </c>
      <c r="C56" s="22" t="s">
        <v>50</v>
      </c>
      <c r="D56" s="279">
        <f ca="1" t="shared" si="20"/>
        <v>599.9063450868455</v>
      </c>
      <c r="E56" s="122">
        <f ca="1" t="shared" si="21"/>
        <v>7.149490970531087</v>
      </c>
      <c r="F56" s="122">
        <f ca="1" t="shared" si="22"/>
        <v>598.8738322814158</v>
      </c>
      <c r="G56" s="122">
        <f ca="1" t="shared" si="23"/>
        <v>600.8695693824512</v>
      </c>
      <c r="H56" s="122">
        <f ca="1" t="shared" si="24"/>
        <v>604.9308896025967</v>
      </c>
      <c r="I56" s="122">
        <f ca="1" t="shared" si="30"/>
        <v>598.8704162576876</v>
      </c>
      <c r="J56" s="122">
        <f ca="1" t="shared" si="31"/>
        <v>597.4069412926285</v>
      </c>
      <c r="M56" s="122">
        <f t="shared" si="25"/>
        <v>1.9957371010353882</v>
      </c>
      <c r="N56" s="122">
        <f t="shared" si="26"/>
        <v>4.06132022014549</v>
      </c>
      <c r="O56" s="122">
        <f t="shared" si="32"/>
        <v>-1.9991531247636658</v>
      </c>
      <c r="P56" s="122">
        <f t="shared" si="33"/>
        <v>-3.462628089822715</v>
      </c>
      <c r="V56" s="279">
        <f ca="1" t="shared" si="27"/>
        <v>0</v>
      </c>
      <c r="W56" s="279">
        <f ca="1" t="shared" si="28"/>
        <v>0</v>
      </c>
      <c r="X56" s="279">
        <f ca="1" t="shared" si="29"/>
        <v>1.8160571654739943</v>
      </c>
      <c r="Y56" s="279">
        <f ca="1" t="shared" si="34"/>
        <v>-1.388547522198579</v>
      </c>
      <c r="Z56" s="279">
        <f ca="1" t="shared" si="35"/>
        <v>0</v>
      </c>
    </row>
    <row r="57" spans="2:26" ht="12">
      <c r="B57" s="22" t="s">
        <v>259</v>
      </c>
      <c r="C57" s="22" t="s">
        <v>51</v>
      </c>
      <c r="D57" s="279">
        <f ca="1" t="shared" si="20"/>
        <v>598.9999209855118</v>
      </c>
      <c r="E57" s="122">
        <f ca="1" t="shared" si="21"/>
        <v>13.589236368343684</v>
      </c>
      <c r="F57" s="122">
        <f ca="1" t="shared" si="22"/>
        <v>597.725566382472</v>
      </c>
      <c r="G57" s="122">
        <f ca="1" t="shared" si="23"/>
        <v>600.1101068736167</v>
      </c>
      <c r="H57" s="122">
        <f ca="1" t="shared" si="24"/>
        <v>598.8505657322667</v>
      </c>
      <c r="I57" s="122">
        <f ca="1" t="shared" si="30"/>
        <v>601.9592041977909</v>
      </c>
      <c r="J57" s="122">
        <f ca="1" t="shared" si="31"/>
        <v>598.6598140431219</v>
      </c>
      <c r="M57" s="122">
        <f t="shared" si="25"/>
        <v>2.384540491144662</v>
      </c>
      <c r="N57" s="122">
        <f t="shared" si="26"/>
        <v>-1.2595411413500415</v>
      </c>
      <c r="O57" s="122">
        <f t="shared" si="32"/>
        <v>1.8490973241741813</v>
      </c>
      <c r="P57" s="122">
        <f t="shared" si="33"/>
        <v>-1.4502928304948455</v>
      </c>
      <c r="V57" s="279">
        <f ca="1" t="shared" si="27"/>
        <v>0</v>
      </c>
      <c r="W57" s="279">
        <f ca="1" t="shared" si="28"/>
        <v>0</v>
      </c>
      <c r="X57" s="279">
        <f ca="1" t="shared" si="29"/>
        <v>-3.1181908757679775</v>
      </c>
      <c r="Y57" s="279">
        <f ca="1" t="shared" si="34"/>
        <v>-0.5399417754645027</v>
      </c>
      <c r="Z57" s="279">
        <f ca="1" t="shared" si="35"/>
        <v>0</v>
      </c>
    </row>
    <row r="58" spans="2:26" ht="12">
      <c r="B58" s="22" t="s">
        <v>259</v>
      </c>
      <c r="C58" s="22" t="s">
        <v>52</v>
      </c>
      <c r="D58" s="279">
        <f ca="1" t="shared" si="20"/>
        <v>599.0435327383042</v>
      </c>
      <c r="E58" s="122">
        <f ca="1" t="shared" si="21"/>
        <v>9.419416646653566</v>
      </c>
      <c r="F58" s="122">
        <f ca="1" t="shared" si="22"/>
        <v>600.4184332223368</v>
      </c>
      <c r="G58" s="122">
        <f ca="1" t="shared" si="23"/>
        <v>598.5136142838055</v>
      </c>
      <c r="H58" s="122">
        <f ca="1" t="shared" si="24"/>
        <v>604.2853776894584</v>
      </c>
      <c r="I58" s="122">
        <f ca="1" t="shared" si="30"/>
        <v>599.0586436504245</v>
      </c>
      <c r="J58" s="122">
        <f ca="1" t="shared" si="31"/>
        <v>598.4795019567556</v>
      </c>
      <c r="M58" s="122">
        <f t="shared" si="25"/>
        <v>-1.9048189385313208</v>
      </c>
      <c r="N58" s="122">
        <f t="shared" si="26"/>
        <v>5.771763405652905</v>
      </c>
      <c r="O58" s="122">
        <f t="shared" si="32"/>
        <v>0.5450293666190191</v>
      </c>
      <c r="P58" s="122">
        <f t="shared" si="33"/>
        <v>-0.03411232704991107</v>
      </c>
      <c r="V58" s="279">
        <f ca="1" t="shared" si="27"/>
        <v>0</v>
      </c>
      <c r="W58" s="279">
        <f ca="1" t="shared" si="28"/>
        <v>0</v>
      </c>
      <c r="X58" s="279">
        <f ca="1" t="shared" si="29"/>
        <v>-0.3657675929747818</v>
      </c>
      <c r="Y58" s="279">
        <f ca="1" t="shared" si="34"/>
        <v>-0.35541195549220655</v>
      </c>
      <c r="Z58" s="279">
        <f ca="1" t="shared" si="35"/>
        <v>0</v>
      </c>
    </row>
    <row r="59" spans="2:26" ht="12">
      <c r="B59" s="22" t="s">
        <v>259</v>
      </c>
      <c r="C59" s="22" t="s">
        <v>53</v>
      </c>
      <c r="D59" s="279">
        <f ca="1" t="shared" si="20"/>
        <v>597.532554731335</v>
      </c>
      <c r="E59" s="122">
        <f ca="1" t="shared" si="21"/>
        <v>10.87275265442558</v>
      </c>
      <c r="F59" s="122">
        <f ca="1" t="shared" si="22"/>
        <v>597.7921984063479</v>
      </c>
      <c r="G59" s="122">
        <f ca="1" t="shared" si="23"/>
        <v>599.8614060439694</v>
      </c>
      <c r="H59" s="122">
        <f ca="1" t="shared" si="24"/>
        <v>601.293976696595</v>
      </c>
      <c r="I59" s="122">
        <f ca="1" t="shared" si="30"/>
        <v>600.3800196054996</v>
      </c>
      <c r="J59" s="122">
        <f ca="1" t="shared" si="31"/>
        <v>598.4271049567068</v>
      </c>
      <c r="M59" s="122">
        <f t="shared" si="25"/>
        <v>2.0692076376215027</v>
      </c>
      <c r="N59" s="122">
        <f t="shared" si="26"/>
        <v>1.4325706526256</v>
      </c>
      <c r="O59" s="122">
        <f t="shared" si="32"/>
        <v>0.5186135615301737</v>
      </c>
      <c r="P59" s="122">
        <f t="shared" si="33"/>
        <v>-1.434301087262611</v>
      </c>
      <c r="V59" s="279">
        <f ca="1" t="shared" si="27"/>
        <v>0</v>
      </c>
      <c r="W59" s="279">
        <f ca="1" t="shared" si="28"/>
        <v>0</v>
      </c>
      <c r="X59" s="279">
        <f ca="1" t="shared" si="29"/>
        <v>0.8685815911508267</v>
      </c>
      <c r="Y59" s="279">
        <f ca="1" t="shared" si="34"/>
        <v>-0.02608662891104871</v>
      </c>
      <c r="Z59" s="279">
        <f ca="1" t="shared" si="35"/>
        <v>0</v>
      </c>
    </row>
    <row r="60" spans="2:26" ht="12">
      <c r="B60" s="22" t="s">
        <v>259</v>
      </c>
      <c r="C60" s="22" t="s">
        <v>54</v>
      </c>
      <c r="D60" s="279">
        <f ca="1" t="shared" si="20"/>
        <v>598.1523419669394</v>
      </c>
      <c r="E60" s="122">
        <f ca="1" t="shared" si="21"/>
        <v>15.021673456409701</v>
      </c>
      <c r="F60" s="122">
        <f ca="1" t="shared" si="22"/>
        <v>599.328754792448</v>
      </c>
      <c r="G60" s="122">
        <f ca="1" t="shared" si="23"/>
        <v>600.1975954963092</v>
      </c>
      <c r="H60" s="122">
        <f ca="1" t="shared" si="24"/>
        <v>597.1996571932433</v>
      </c>
      <c r="I60" s="122">
        <f ca="1" t="shared" si="30"/>
        <v>597.5555625168167</v>
      </c>
      <c r="J60" s="122">
        <f ca="1" t="shared" si="31"/>
        <v>597.9334214960675</v>
      </c>
      <c r="M60" s="122">
        <f t="shared" si="25"/>
        <v>0.868840703861224</v>
      </c>
      <c r="N60" s="122">
        <f t="shared" si="26"/>
        <v>-2.9979383030658937</v>
      </c>
      <c r="O60" s="122">
        <f t="shared" si="32"/>
        <v>-2.6420329794924555</v>
      </c>
      <c r="P60" s="122">
        <f t="shared" si="33"/>
        <v>-2.2641740002417237</v>
      </c>
      <c r="V60" s="279">
        <f ca="1" t="shared" si="27"/>
        <v>0</v>
      </c>
      <c r="W60" s="279">
        <f ca="1" t="shared" si="28"/>
        <v>0</v>
      </c>
      <c r="X60" s="279">
        <f ca="1" t="shared" si="29"/>
        <v>-3.06176416083331</v>
      </c>
      <c r="Y60" s="279">
        <f ca="1" t="shared" si="34"/>
        <v>-1.004382998292006</v>
      </c>
      <c r="Z60" s="279">
        <f ca="1" t="shared" si="35"/>
        <v>0</v>
      </c>
    </row>
    <row r="61" spans="2:26" ht="12">
      <c r="B61" s="22" t="s">
        <v>259</v>
      </c>
      <c r="C61" s="22" t="s">
        <v>55</v>
      </c>
      <c r="D61" s="279">
        <f ca="1" t="shared" si="20"/>
        <v>597.895512792114</v>
      </c>
      <c r="E61" s="122">
        <f ca="1" t="shared" si="21"/>
        <v>12.563848630759974</v>
      </c>
      <c r="F61" s="122">
        <f ca="1" t="shared" si="22"/>
        <v>596.0249957450902</v>
      </c>
      <c r="G61" s="122">
        <f ca="1" t="shared" si="23"/>
        <v>597.981915173145</v>
      </c>
      <c r="H61" s="122">
        <f ca="1" t="shared" si="24"/>
        <v>598.2881124992789</v>
      </c>
      <c r="I61" s="122">
        <f ca="1" t="shared" si="30"/>
        <v>599.3566424388097</v>
      </c>
      <c r="J61" s="122">
        <f ca="1" t="shared" si="31"/>
        <v>599.1551758318532</v>
      </c>
      <c r="M61" s="122">
        <f t="shared" si="25"/>
        <v>1.956919428054789</v>
      </c>
      <c r="N61" s="122">
        <f t="shared" si="26"/>
        <v>0.3061973261338835</v>
      </c>
      <c r="O61" s="122">
        <f t="shared" si="32"/>
        <v>1.37472726566466</v>
      </c>
      <c r="P61" s="122">
        <f t="shared" si="33"/>
        <v>1.173260658708159</v>
      </c>
      <c r="V61" s="279">
        <f ca="1" t="shared" si="27"/>
        <v>0</v>
      </c>
      <c r="W61" s="279">
        <f ca="1" t="shared" si="28"/>
        <v>0</v>
      </c>
      <c r="X61" s="279">
        <f ca="1" t="shared" si="29"/>
        <v>-0.4469784249772577</v>
      </c>
      <c r="Y61" s="279">
        <f ca="1" t="shared" si="34"/>
        <v>0.5998011874365984</v>
      </c>
      <c r="Z61" s="279">
        <f ca="1" t="shared" si="35"/>
        <v>0</v>
      </c>
    </row>
    <row r="62" spans="2:26" ht="12">
      <c r="B62" s="22" t="s">
        <v>259</v>
      </c>
      <c r="C62" s="22" t="s">
        <v>56</v>
      </c>
      <c r="D62" s="279">
        <f ca="1" t="shared" si="20"/>
        <v>599.7001724812856</v>
      </c>
      <c r="E62" s="122">
        <f ca="1" t="shared" si="21"/>
        <v>13.632454945865746</v>
      </c>
      <c r="F62" s="122">
        <f ca="1" t="shared" si="22"/>
        <v>597.8572941119542</v>
      </c>
      <c r="G62" s="122">
        <f ca="1" t="shared" si="23"/>
        <v>601.3087945153699</v>
      </c>
      <c r="H62" s="122">
        <f ca="1" t="shared" si="24"/>
        <v>599.9224246398934</v>
      </c>
      <c r="I62" s="122">
        <f ca="1" t="shared" si="30"/>
        <v>601.4736763459143</v>
      </c>
      <c r="J62" s="122">
        <f ca="1" t="shared" si="31"/>
        <v>600.0983269442014</v>
      </c>
      <c r="M62" s="122">
        <f t="shared" si="25"/>
        <v>3.4515004034157073</v>
      </c>
      <c r="N62" s="122">
        <f t="shared" si="26"/>
        <v>-1.3863698754764755</v>
      </c>
      <c r="O62" s="122">
        <f t="shared" si="32"/>
        <v>0.16488183054445926</v>
      </c>
      <c r="P62" s="122">
        <f t="shared" si="33"/>
        <v>-1.210467571168465</v>
      </c>
      <c r="V62" s="279">
        <f ca="1" t="shared" si="27"/>
        <v>0</v>
      </c>
      <c r="W62" s="279">
        <f ca="1" t="shared" si="28"/>
        <v>0</v>
      </c>
      <c r="X62" s="279">
        <f ca="1" t="shared" si="29"/>
        <v>-1.9456335165381398</v>
      </c>
      <c r="Y62" s="279">
        <f ca="1" t="shared" si="34"/>
        <v>-0.32464284648884556</v>
      </c>
      <c r="Z62" s="279">
        <f ca="1" t="shared" si="35"/>
        <v>0</v>
      </c>
    </row>
    <row r="63" spans="2:26" ht="12">
      <c r="B63" s="22" t="s">
        <v>259</v>
      </c>
      <c r="C63" s="22" t="s">
        <v>57</v>
      </c>
      <c r="D63" s="279">
        <f ca="1" t="shared" si="20"/>
        <v>599.8734328346043</v>
      </c>
      <c r="E63" s="122">
        <f ca="1" t="shared" si="21"/>
        <v>5.305400345975469</v>
      </c>
      <c r="F63" s="122">
        <f ca="1" t="shared" si="22"/>
        <v>600.990618165109</v>
      </c>
      <c r="G63" s="122">
        <f ca="1" t="shared" si="23"/>
        <v>601.9063340464245</v>
      </c>
      <c r="H63" s="122">
        <f ca="1" t="shared" si="24"/>
        <v>604.3857476524803</v>
      </c>
      <c r="I63" s="122">
        <f ca="1" t="shared" si="30"/>
        <v>602.9157263858676</v>
      </c>
      <c r="J63" s="122">
        <f ca="1" t="shared" si="31"/>
        <v>600.8644706251042</v>
      </c>
      <c r="M63" s="122">
        <f t="shared" si="25"/>
        <v>0.9157158813154638</v>
      </c>
      <c r="N63" s="122">
        <f t="shared" si="26"/>
        <v>2.4794136060558003</v>
      </c>
      <c r="O63" s="122">
        <f t="shared" si="32"/>
        <v>1.0093923394431386</v>
      </c>
      <c r="P63" s="122">
        <f t="shared" si="33"/>
        <v>-1.0418634213202722</v>
      </c>
      <c r="V63" s="279">
        <f ca="1" t="shared" si="27"/>
        <v>0</v>
      </c>
      <c r="W63" s="279">
        <f ca="1" t="shared" si="28"/>
        <v>0</v>
      </c>
      <c r="X63" s="279">
        <f ca="1" t="shared" si="29"/>
        <v>2.2208062765588448</v>
      </c>
      <c r="Y63" s="279">
        <f ca="1" t="shared" si="34"/>
        <v>0.4351851374369575</v>
      </c>
      <c r="Z63" s="279">
        <f ca="1" t="shared" si="35"/>
        <v>0</v>
      </c>
    </row>
    <row r="64" spans="2:26" ht="12">
      <c r="B64" s="22" t="s">
        <v>259</v>
      </c>
      <c r="C64" s="22" t="s">
        <v>58</v>
      </c>
      <c r="D64" s="279">
        <f ca="1" t="shared" si="20"/>
        <v>600.6317210914162</v>
      </c>
      <c r="E64" s="122">
        <f ca="1" t="shared" si="21"/>
        <v>9.65491658407058</v>
      </c>
      <c r="F64" s="122">
        <f ca="1" t="shared" si="22"/>
        <v>598.7488971917755</v>
      </c>
      <c r="G64" s="122">
        <f ca="1" t="shared" si="23"/>
        <v>601.6673782013025</v>
      </c>
      <c r="H64" s="122">
        <f ca="1" t="shared" si="24"/>
        <v>602.8811585842254</v>
      </c>
      <c r="I64" s="122">
        <f ca="1" t="shared" si="30"/>
        <v>601.7001767480679</v>
      </c>
      <c r="J64" s="122">
        <f ca="1" t="shared" si="31"/>
        <v>599.3995079927065</v>
      </c>
      <c r="M64" s="122">
        <f t="shared" si="25"/>
        <v>2.9184810095269995</v>
      </c>
      <c r="N64" s="122">
        <f t="shared" si="26"/>
        <v>1.2137803829228915</v>
      </c>
      <c r="O64" s="122">
        <f t="shared" si="32"/>
        <v>0.03279854676532068</v>
      </c>
      <c r="P64" s="122">
        <f t="shared" si="33"/>
        <v>-2.2678702085960367</v>
      </c>
      <c r="V64" s="279">
        <f ca="1" t="shared" si="27"/>
        <v>0</v>
      </c>
      <c r="W64" s="279">
        <f ca="1" t="shared" si="28"/>
        <v>0</v>
      </c>
      <c r="X64" s="279">
        <f ca="1" t="shared" si="29"/>
        <v>-0.19386796273386905</v>
      </c>
      <c r="Y64" s="279">
        <f ca="1" t="shared" si="34"/>
        <v>0.261219779508603</v>
      </c>
      <c r="Z64" s="279">
        <f ca="1" t="shared" si="35"/>
        <v>0</v>
      </c>
    </row>
    <row r="65" spans="2:26" ht="12">
      <c r="B65" s="22" t="s">
        <v>259</v>
      </c>
      <c r="C65" s="22" t="s">
        <v>59</v>
      </c>
      <c r="D65" s="279">
        <f ca="1" t="shared" si="20"/>
        <v>597.4223368494494</v>
      </c>
      <c r="E65" s="122">
        <f ca="1" t="shared" si="21"/>
        <v>11.789237816517963</v>
      </c>
      <c r="F65" s="122">
        <f ca="1" t="shared" si="22"/>
        <v>598.0804032862699</v>
      </c>
      <c r="G65" s="122">
        <f ca="1" t="shared" si="23"/>
        <v>597.7013593980228</v>
      </c>
      <c r="H65" s="122">
        <f ca="1" t="shared" si="24"/>
        <v>596.2796266192177</v>
      </c>
      <c r="I65" s="122">
        <f ca="1" t="shared" si="30"/>
        <v>597.5942833923605</v>
      </c>
      <c r="J65" s="122">
        <f ca="1" t="shared" si="31"/>
        <v>598.431678559764</v>
      </c>
      <c r="M65" s="122">
        <f t="shared" si="25"/>
        <v>-0.37904388824711077</v>
      </c>
      <c r="N65" s="122">
        <f t="shared" si="26"/>
        <v>-1.421732778805108</v>
      </c>
      <c r="O65" s="122">
        <f t="shared" si="32"/>
        <v>-0.10707600566229303</v>
      </c>
      <c r="P65" s="122">
        <f t="shared" si="33"/>
        <v>0.7303191617412494</v>
      </c>
      <c r="V65" s="279">
        <f ca="1" t="shared" si="27"/>
        <v>0</v>
      </c>
      <c r="W65" s="279">
        <f ca="1" t="shared" si="28"/>
        <v>0</v>
      </c>
      <c r="X65" s="279">
        <f ca="1" t="shared" si="29"/>
        <v>-2.197076923125333</v>
      </c>
      <c r="Y65" s="279">
        <f ca="1" t="shared" si="34"/>
        <v>-0.6272347428430225</v>
      </c>
      <c r="Z65" s="279">
        <f ca="1" t="shared" si="35"/>
        <v>0</v>
      </c>
    </row>
    <row r="66" spans="2:26" ht="12">
      <c r="B66" s="22" t="s">
        <v>259</v>
      </c>
      <c r="C66" s="22" t="s">
        <v>60</v>
      </c>
      <c r="D66" s="279">
        <f ca="1" t="shared" si="20"/>
        <v>598.9992638645662</v>
      </c>
      <c r="E66" s="122">
        <f ca="1" t="shared" si="21"/>
        <v>10.38058432563154</v>
      </c>
      <c r="F66" s="122">
        <f ca="1" t="shared" si="22"/>
        <v>602.0682933804807</v>
      </c>
      <c r="G66" s="122">
        <f ca="1" t="shared" si="23"/>
        <v>597.9538037510719</v>
      </c>
      <c r="H66" s="122">
        <f ca="1" t="shared" si="24"/>
        <v>598.017930613247</v>
      </c>
      <c r="I66" s="122">
        <f ca="1" t="shared" si="30"/>
        <v>602.0346405582604</v>
      </c>
      <c r="J66" s="122">
        <f ca="1" t="shared" si="31"/>
        <v>599.7844347653825</v>
      </c>
      <c r="M66" s="122">
        <f t="shared" si="25"/>
        <v>-4.1144896294088085</v>
      </c>
      <c r="N66" s="122">
        <f t="shared" si="26"/>
        <v>0.06412686217515784</v>
      </c>
      <c r="O66" s="122">
        <f t="shared" si="32"/>
        <v>4.080836807188575</v>
      </c>
      <c r="P66" s="122">
        <f t="shared" si="33"/>
        <v>1.8306310143105975</v>
      </c>
      <c r="S66" s="6"/>
      <c r="V66" s="279">
        <f ca="1" t="shared" si="27"/>
        <v>0</v>
      </c>
      <c r="W66" s="279">
        <f ca="1" t="shared" si="28"/>
        <v>0</v>
      </c>
      <c r="X66" s="279">
        <f ca="1" t="shared" si="29"/>
        <v>-0.22649765577503095</v>
      </c>
      <c r="Y66" s="279">
        <f ca="1" t="shared" si="34"/>
        <v>-0.05692330974841074</v>
      </c>
      <c r="Z66" s="279">
        <f ca="1" t="shared" si="35"/>
        <v>0</v>
      </c>
    </row>
    <row r="67" spans="2:26" ht="12">
      <c r="B67" s="22" t="s">
        <v>259</v>
      </c>
      <c r="C67" s="22" t="s">
        <v>61</v>
      </c>
      <c r="D67" s="279">
        <f ca="1" t="shared" si="20"/>
        <v>599.580497701135</v>
      </c>
      <c r="E67" s="122">
        <f ca="1" t="shared" si="21"/>
        <v>12.793562594014503</v>
      </c>
      <c r="F67" s="122">
        <f ca="1" t="shared" si="22"/>
        <v>601.0205126141101</v>
      </c>
      <c r="G67" s="122">
        <f ca="1" t="shared" si="23"/>
        <v>599.9303818998561</v>
      </c>
      <c r="H67" s="122">
        <f ca="1" t="shared" si="24"/>
        <v>598.409813243856</v>
      </c>
      <c r="I67" s="122">
        <f ca="1" t="shared" si="30"/>
        <v>600.7561294257058</v>
      </c>
      <c r="J67" s="122">
        <f ca="1" t="shared" si="31"/>
        <v>599.3173468154232</v>
      </c>
      <c r="M67" s="122">
        <f t="shared" si="25"/>
        <v>-1.0901307142539736</v>
      </c>
      <c r="N67" s="122">
        <f t="shared" si="26"/>
        <v>-1.5205686560001368</v>
      </c>
      <c r="O67" s="122">
        <f t="shared" si="32"/>
        <v>0.8257475258496925</v>
      </c>
      <c r="P67" s="122">
        <f t="shared" si="33"/>
        <v>-0.6130350844329087</v>
      </c>
      <c r="S67" s="6"/>
      <c r="V67" s="279">
        <f ca="1" t="shared" si="27"/>
        <v>0</v>
      </c>
      <c r="W67" s="279">
        <f ca="1" t="shared" si="28"/>
        <v>0</v>
      </c>
      <c r="X67" s="279">
        <f ca="1" t="shared" si="29"/>
        <v>-2.106584005195815</v>
      </c>
      <c r="Y67" s="279">
        <f ca="1" t="shared" si="34"/>
        <v>-1.3127713490781057</v>
      </c>
      <c r="Z67" s="279">
        <f ca="1" t="shared" si="35"/>
        <v>0</v>
      </c>
    </row>
    <row r="68" spans="2:26" ht="12">
      <c r="B68" s="22" t="s">
        <v>259</v>
      </c>
      <c r="C68" s="22" t="s">
        <v>62</v>
      </c>
      <c r="D68" s="279">
        <f ca="1" t="shared" si="20"/>
        <v>596.4677087251772</v>
      </c>
      <c r="E68" s="122">
        <f ca="1" t="shared" si="21"/>
        <v>11.277938923836144</v>
      </c>
      <c r="F68" s="122">
        <f ca="1" t="shared" si="22"/>
        <v>595.9923106412701</v>
      </c>
      <c r="G68" s="122">
        <f ca="1" t="shared" si="23"/>
        <v>597.7504264167613</v>
      </c>
      <c r="H68" s="122">
        <f ca="1" t="shared" si="24"/>
        <v>596.752362014918</v>
      </c>
      <c r="I68" s="122">
        <f ca="1" t="shared" si="30"/>
        <v>596.155360986525</v>
      </c>
      <c r="J68" s="122">
        <f ca="1" t="shared" si="31"/>
        <v>596.9267854927757</v>
      </c>
      <c r="M68" s="122">
        <f t="shared" si="25"/>
        <v>1.7581157754912056</v>
      </c>
      <c r="N68" s="122">
        <f t="shared" si="26"/>
        <v>-0.998064401843294</v>
      </c>
      <c r="O68" s="122">
        <f t="shared" si="32"/>
        <v>-1.5950654302363318</v>
      </c>
      <c r="P68" s="122">
        <f t="shared" si="33"/>
        <v>-0.8236409239856357</v>
      </c>
      <c r="S68" s="6"/>
      <c r="V68" s="279">
        <f ca="1" t="shared" si="27"/>
        <v>0</v>
      </c>
      <c r="W68" s="279">
        <f ca="1" t="shared" si="28"/>
        <v>0</v>
      </c>
      <c r="X68" s="279">
        <f ca="1" t="shared" si="29"/>
        <v>-1.6174465381471044</v>
      </c>
      <c r="Y68" s="279">
        <f ca="1" t="shared" si="34"/>
        <v>-0.15526909500306046</v>
      </c>
      <c r="Z68" s="279">
        <f ca="1" t="shared" si="35"/>
        <v>0</v>
      </c>
    </row>
    <row r="69" spans="2:26" ht="12">
      <c r="B69" s="22" t="s">
        <v>259</v>
      </c>
      <c r="C69" s="22" t="s">
        <v>63</v>
      </c>
      <c r="D69" s="279">
        <f ca="1" t="shared" si="20"/>
        <v>600.2969810003951</v>
      </c>
      <c r="E69" s="122">
        <f ca="1" t="shared" si="21"/>
        <v>7.563363360621063</v>
      </c>
      <c r="F69" s="122">
        <f ca="1" t="shared" si="22"/>
        <v>600.0151099939328</v>
      </c>
      <c r="G69" s="122">
        <f ca="1" t="shared" si="23"/>
        <v>603.8542114108254</v>
      </c>
      <c r="H69" s="122">
        <f ca="1" t="shared" si="24"/>
        <v>604.4072349489568</v>
      </c>
      <c r="I69" s="122">
        <f ca="1" t="shared" si="30"/>
        <v>603.5412358089691</v>
      </c>
      <c r="J69" s="122">
        <f ca="1" t="shared" si="31"/>
        <v>600.4170333666624</v>
      </c>
      <c r="M69" s="122">
        <f t="shared" si="25"/>
        <v>3.8391014168926176</v>
      </c>
      <c r="N69" s="122">
        <f t="shared" si="26"/>
        <v>0.553023538131356</v>
      </c>
      <c r="O69" s="122">
        <f t="shared" si="32"/>
        <v>-0.3129756018563512</v>
      </c>
      <c r="P69" s="122">
        <f t="shared" si="33"/>
        <v>-3.4371780441630335</v>
      </c>
      <c r="V69" s="279">
        <f ca="1" t="shared" si="27"/>
        <v>0</v>
      </c>
      <c r="W69" s="279">
        <f ca="1" t="shared" si="28"/>
        <v>0</v>
      </c>
      <c r="X69" s="279">
        <f ca="1" t="shared" si="29"/>
        <v>2.5491164791881973</v>
      </c>
      <c r="Y69" s="279">
        <f ca="1" t="shared" si="34"/>
        <v>1.7519578294752585</v>
      </c>
      <c r="Z69" s="279">
        <f ca="1" t="shared" si="35"/>
        <v>0</v>
      </c>
    </row>
    <row r="70" spans="2:26" ht="12">
      <c r="B70" s="22" t="s">
        <v>259</v>
      </c>
      <c r="C70" s="22" t="s">
        <v>64</v>
      </c>
      <c r="D70" s="279">
        <f ca="1" t="shared" si="20"/>
        <v>600.1246102481127</v>
      </c>
      <c r="E70" s="122">
        <f ca="1" t="shared" si="21"/>
        <v>11.753139065734024</v>
      </c>
      <c r="F70" s="122">
        <f ca="1" t="shared" si="22"/>
        <v>601.5857701690024</v>
      </c>
      <c r="G70" s="122">
        <f ca="1" t="shared" si="23"/>
        <v>601.7366356541871</v>
      </c>
      <c r="H70" s="122">
        <f ca="1" t="shared" si="24"/>
        <v>600.3245317763822</v>
      </c>
      <c r="I70" s="122">
        <f ca="1" t="shared" si="30"/>
        <v>599.0494613040343</v>
      </c>
      <c r="J70" s="122">
        <f ca="1" t="shared" si="31"/>
        <v>601.882472796746</v>
      </c>
      <c r="M70" s="122">
        <f t="shared" si="25"/>
        <v>0.15086548518468135</v>
      </c>
      <c r="N70" s="122">
        <f t="shared" si="26"/>
        <v>-1.4121038778049524</v>
      </c>
      <c r="O70" s="122">
        <f t="shared" si="32"/>
        <v>-2.6871743501528726</v>
      </c>
      <c r="P70" s="122">
        <f t="shared" si="33"/>
        <v>0.14583714255888935</v>
      </c>
      <c r="V70" s="279">
        <f ca="1" t="shared" si="27"/>
        <v>0</v>
      </c>
      <c r="W70" s="279">
        <f ca="1" t="shared" si="28"/>
        <v>0</v>
      </c>
      <c r="X70" s="279">
        <f ca="1" t="shared" si="29"/>
        <v>-1.3857602975402565</v>
      </c>
      <c r="Y70" s="279">
        <f ca="1" t="shared" si="34"/>
        <v>-0.4915336625909644</v>
      </c>
      <c r="Z70" s="279">
        <f ca="1" t="shared" si="35"/>
        <v>0</v>
      </c>
    </row>
    <row r="71" spans="2:26" ht="12">
      <c r="B71" s="22" t="s">
        <v>259</v>
      </c>
      <c r="C71" s="22" t="s">
        <v>65</v>
      </c>
      <c r="D71" s="279">
        <f ca="1" t="shared" si="20"/>
        <v>599.0859916143633</v>
      </c>
      <c r="E71" s="122">
        <f ca="1" t="shared" si="21"/>
        <v>12.125960269321675</v>
      </c>
      <c r="F71" s="122">
        <f ca="1" t="shared" si="22"/>
        <v>599.8962869734871</v>
      </c>
      <c r="G71" s="122">
        <f ca="1" t="shared" si="23"/>
        <v>598.5147743443998</v>
      </c>
      <c r="H71" s="122">
        <f ca="1" t="shared" si="24"/>
        <v>600.7038334962683</v>
      </c>
      <c r="I71" s="122">
        <f ca="1" t="shared" si="30"/>
        <v>599.8340440148653</v>
      </c>
      <c r="J71" s="122">
        <f ca="1" t="shared" si="31"/>
        <v>598.7437562397683</v>
      </c>
      <c r="M71" s="122">
        <f t="shared" si="25"/>
        <v>-1.3815126290872968</v>
      </c>
      <c r="N71" s="122">
        <f t="shared" si="26"/>
        <v>2.1890591518684914</v>
      </c>
      <c r="O71" s="122">
        <f t="shared" si="32"/>
        <v>1.3192696704654736</v>
      </c>
      <c r="P71" s="122">
        <f t="shared" si="33"/>
        <v>0.22898189536851987</v>
      </c>
      <c r="V71" s="279">
        <f ca="1" t="shared" si="27"/>
        <v>0</v>
      </c>
      <c r="W71" s="279">
        <f ca="1" t="shared" si="28"/>
        <v>0</v>
      </c>
      <c r="X71" s="279">
        <f ca="1" t="shared" si="29"/>
        <v>0.2296898214799864</v>
      </c>
      <c r="Y71" s="279">
        <f ca="1" t="shared" si="34"/>
        <v>0.24897926396409303</v>
      </c>
      <c r="Z71" s="279">
        <f ca="1" t="shared" si="35"/>
        <v>0</v>
      </c>
    </row>
    <row r="72" ht="12">
      <c r="D72" s="185"/>
    </row>
    <row r="73" spans="3:10" ht="12">
      <c r="C73" s="251" t="s">
        <v>4</v>
      </c>
      <c r="D73" s="281">
        <f aca="true" t="shared" si="36" ref="D73:J73">AVERAGE(D52:D71)</f>
        <v>599.0438542286732</v>
      </c>
      <c r="E73" s="42">
        <f t="shared" si="36"/>
        <v>10.073287443256037</v>
      </c>
      <c r="F73" s="42">
        <f t="shared" si="36"/>
        <v>599.363977522546</v>
      </c>
      <c r="G73" s="42">
        <f t="shared" si="36"/>
        <v>600.0417605105292</v>
      </c>
      <c r="H73" s="42">
        <f t="shared" si="36"/>
        <v>600.8420718375712</v>
      </c>
      <c r="I73" s="42">
        <f>AVERAGE(I52:I71)</f>
        <v>600.3129583184201</v>
      </c>
      <c r="J73" s="42">
        <f t="shared" si="36"/>
        <v>599.307635785733</v>
      </c>
    </row>
    <row r="74" spans="3:10" ht="12">
      <c r="C74" s="251" t="s">
        <v>2</v>
      </c>
      <c r="D74" s="281">
        <f aca="true" t="shared" si="37" ref="D74:J74">STDEV(D52:D71)</f>
        <v>1.1026082995395419</v>
      </c>
      <c r="E74" s="42">
        <f t="shared" si="37"/>
        <v>3.43278752031514</v>
      </c>
      <c r="F74" s="42">
        <f t="shared" si="37"/>
        <v>2.0122816910360575</v>
      </c>
      <c r="G74" s="42">
        <f t="shared" si="37"/>
        <v>1.7796520036095411</v>
      </c>
      <c r="H74" s="42">
        <f t="shared" si="37"/>
        <v>3.1985909165220052</v>
      </c>
      <c r="I74" s="42">
        <f>STDEV(I52:I71)</f>
        <v>2.2995829480888332</v>
      </c>
      <c r="J74" s="42">
        <f t="shared" si="37"/>
        <v>1.4236292381864677</v>
      </c>
    </row>
    <row r="76" spans="4:16" ht="12">
      <c r="D76" s="40" t="s">
        <v>251</v>
      </c>
      <c r="E76" s="42">
        <f>AVERAGE(E20:E39,E52:E71)</f>
        <v>9.971035348260324</v>
      </c>
      <c r="L76" s="40" t="s">
        <v>252</v>
      </c>
      <c r="M76" s="42">
        <f>MAX(M20:M39,M52:M71)</f>
        <v>5.348627375405158</v>
      </c>
      <c r="N76" s="42">
        <f>MAX(N20:N39,N52:N71)</f>
        <v>8.220763920590343</v>
      </c>
      <c r="O76" s="42">
        <f>MAX(O20:O39,O52:O71)</f>
        <v>4.080836807188575</v>
      </c>
      <c r="P76" s="42">
        <f>MAX(P20:P39,P52:P71)</f>
        <v>4.543228364590959</v>
      </c>
    </row>
    <row r="77" spans="4:16" ht="12">
      <c r="D77" s="41"/>
      <c r="E77" s="42">
        <f>E76</f>
        <v>9.971035348260324</v>
      </c>
      <c r="L77" s="40" t="s">
        <v>253</v>
      </c>
      <c r="M77" s="42">
        <f>MIN(M20:M39,M52:M71)</f>
        <v>-4.1144896294088085</v>
      </c>
      <c r="N77" s="42">
        <f>MIN(N20:N39,N52:N71)</f>
        <v>-2.9979383030658937</v>
      </c>
      <c r="O77" s="42">
        <f>MIN(O20:O39,O52:O71)</f>
        <v>-4.9601749565182445</v>
      </c>
      <c r="P77" s="42">
        <f>MIN(P20:P39,P52:P71)</f>
        <v>-3.7540709648275197</v>
      </c>
    </row>
  </sheetData>
  <sheetProtection/>
  <printOptions/>
  <pageMargins left="0.75" right="0.75" top="1" bottom="1" header="0.5" footer="0.5"/>
  <pageSetup horizontalDpi="1200" verticalDpi="12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87" customWidth="1"/>
    <col min="2" max="2" width="10.140625" style="189" customWidth="1"/>
    <col min="3" max="3" width="6.8515625" style="189" customWidth="1"/>
    <col min="4" max="4" width="5.7109375" style="187" customWidth="1"/>
    <col min="5" max="5" width="8.140625" style="187" customWidth="1"/>
    <col min="6" max="6" width="7.7109375" style="188" customWidth="1"/>
    <col min="7" max="7" width="6.8515625" style="187" customWidth="1"/>
    <col min="8" max="8" width="6.28125" style="187" customWidth="1"/>
    <col min="9" max="9" width="9.140625" style="187" customWidth="1"/>
    <col min="10" max="10" width="7.00390625" style="187" customWidth="1"/>
    <col min="11" max="11" width="8.00390625" style="187" customWidth="1"/>
    <col min="12" max="12" width="7.8515625" style="187" customWidth="1"/>
    <col min="13" max="13" width="6.7109375" style="187" customWidth="1"/>
    <col min="14" max="15" width="9.140625" style="187" customWidth="1"/>
    <col min="16" max="16" width="7.8515625" style="187" customWidth="1"/>
    <col min="17" max="16384" width="9.140625" style="187" customWidth="1"/>
  </cols>
  <sheetData>
    <row r="1" spans="2:6" ht="12">
      <c r="B1" s="190" t="s">
        <v>287</v>
      </c>
      <c r="C1" s="187"/>
      <c r="E1" s="188"/>
      <c r="F1" s="187"/>
    </row>
    <row r="2" spans="2:6" ht="12">
      <c r="B2" s="190" t="s">
        <v>288</v>
      </c>
      <c r="C2" s="187"/>
      <c r="E2" s="188"/>
      <c r="F2" s="187"/>
    </row>
    <row r="3" spans="2:6" ht="12">
      <c r="B3" s="258" t="s">
        <v>305</v>
      </c>
      <c r="C3" s="187"/>
      <c r="E3" s="188"/>
      <c r="F3" s="187"/>
    </row>
    <row r="4" spans="2:6" ht="12">
      <c r="B4" s="190" t="s">
        <v>289</v>
      </c>
      <c r="C4" s="187"/>
      <c r="E4" s="188"/>
      <c r="F4" s="187"/>
    </row>
    <row r="5" spans="2:18" ht="12">
      <c r="B5" s="190" t="s">
        <v>290</v>
      </c>
      <c r="C5" s="187"/>
      <c r="E5" s="188"/>
      <c r="F5" s="187"/>
      <c r="Q5" s="290"/>
      <c r="R5" s="291"/>
    </row>
    <row r="6" spans="2:18" ht="12">
      <c r="B6" s="187"/>
      <c r="C6" s="189" t="s">
        <v>110</v>
      </c>
      <c r="D6" s="191"/>
      <c r="E6" s="192"/>
      <c r="F6" s="193"/>
      <c r="G6" s="194"/>
      <c r="H6" s="195"/>
      <c r="I6" s="196"/>
      <c r="J6" s="197"/>
      <c r="K6" s="198"/>
      <c r="P6" s="197" t="s">
        <v>312</v>
      </c>
      <c r="Q6" s="197"/>
      <c r="R6" s="242"/>
    </row>
    <row r="7" spans="2:18" ht="12">
      <c r="B7" s="190"/>
      <c r="P7" s="295"/>
      <c r="Q7" s="296" t="s">
        <v>310</v>
      </c>
      <c r="R7" s="296" t="s">
        <v>311</v>
      </c>
    </row>
    <row r="8" spans="3:18" ht="12">
      <c r="C8" s="199" t="s">
        <v>273</v>
      </c>
      <c r="D8" s="191"/>
      <c r="F8" s="187"/>
      <c r="G8" s="188"/>
      <c r="I8" s="195" t="s">
        <v>274</v>
      </c>
      <c r="J8" s="195"/>
      <c r="P8" s="197" t="s">
        <v>308</v>
      </c>
      <c r="Q8" s="288">
        <f>D12*D14^((N10-D10)/D11/2)</f>
        <v>0.3567621345008163</v>
      </c>
      <c r="R8" s="288">
        <f>J12*J14^((N10-J10)/J11/2)</f>
        <v>1.6870239755710472</v>
      </c>
    </row>
    <row r="9" spans="3:18" ht="12">
      <c r="C9" s="200"/>
      <c r="D9" s="201" t="s">
        <v>248</v>
      </c>
      <c r="E9" s="202"/>
      <c r="F9" s="202"/>
      <c r="G9" s="202"/>
      <c r="H9" s="189"/>
      <c r="I9" s="229"/>
      <c r="J9" s="230" t="s">
        <v>248</v>
      </c>
      <c r="K9" s="202"/>
      <c r="P9" s="197" t="s">
        <v>309</v>
      </c>
      <c r="Q9" s="244">
        <f>Q8/(1+Q8)</f>
        <v>0.2629511285941638</v>
      </c>
      <c r="R9" s="244">
        <f>R8/(1+R8)</f>
        <v>0.6278410579542821</v>
      </c>
    </row>
    <row r="10" spans="2:14" s="205" customFormat="1" ht="12">
      <c r="B10" s="189"/>
      <c r="C10" s="200" t="s">
        <v>4</v>
      </c>
      <c r="D10" s="203">
        <v>3</v>
      </c>
      <c r="E10" s="204"/>
      <c r="F10" s="204"/>
      <c r="G10" s="204"/>
      <c r="H10" s="189"/>
      <c r="I10" s="229" t="s">
        <v>4</v>
      </c>
      <c r="J10" s="231">
        <v>4</v>
      </c>
      <c r="K10" s="204"/>
      <c r="L10" s="197"/>
      <c r="M10" s="287" t="s">
        <v>304</v>
      </c>
      <c r="N10" s="253">
        <f>(J15*J10+D15*D10)/(J15+D15)</f>
        <v>3.5</v>
      </c>
    </row>
    <row r="11" spans="2:19" s="205" customFormat="1" ht="12">
      <c r="B11" s="206"/>
      <c r="C11" s="207" t="s">
        <v>2</v>
      </c>
      <c r="D11" s="203">
        <v>1</v>
      </c>
      <c r="E11" s="204"/>
      <c r="F11" s="204"/>
      <c r="G11" s="204"/>
      <c r="H11" s="189"/>
      <c r="I11" s="229" t="s">
        <v>2</v>
      </c>
      <c r="J11" s="231">
        <v>1</v>
      </c>
      <c r="K11" s="204"/>
      <c r="N11" s="292"/>
      <c r="O11" s="290"/>
      <c r="P11" s="251" t="s">
        <v>284</v>
      </c>
      <c r="Q11" s="252"/>
      <c r="R11" s="252"/>
      <c r="S11" s="253"/>
    </row>
    <row r="12" spans="2:19" ht="12">
      <c r="B12" s="206"/>
      <c r="C12" s="208" t="s">
        <v>260</v>
      </c>
      <c r="D12" s="209">
        <v>0.3</v>
      </c>
      <c r="E12" s="204"/>
      <c r="F12" s="210"/>
      <c r="G12" s="211"/>
      <c r="H12" s="189"/>
      <c r="I12" s="229" t="s">
        <v>260</v>
      </c>
      <c r="J12" s="231">
        <v>3</v>
      </c>
      <c r="K12" s="204"/>
      <c r="N12" s="293"/>
      <c r="O12" s="294"/>
      <c r="P12" s="254" t="s">
        <v>280</v>
      </c>
      <c r="Q12" s="254" t="s">
        <v>281</v>
      </c>
      <c r="R12" s="255" t="s">
        <v>285</v>
      </c>
      <c r="S12" s="255" t="s">
        <v>286</v>
      </c>
    </row>
    <row r="13" spans="2:19" ht="12">
      <c r="B13" s="206"/>
      <c r="C13" s="208" t="s">
        <v>306</v>
      </c>
      <c r="D13" s="285">
        <f>D12/(1+D12)</f>
        <v>0.23076923076923075</v>
      </c>
      <c r="E13" s="204"/>
      <c r="F13" s="210"/>
      <c r="G13" s="211"/>
      <c r="H13" s="189"/>
      <c r="I13" s="229" t="s">
        <v>306</v>
      </c>
      <c r="J13" s="286">
        <f>J12/(1+J12)</f>
        <v>0.75</v>
      </c>
      <c r="K13" s="204"/>
      <c r="N13" s="197"/>
      <c r="O13" s="40" t="s">
        <v>303</v>
      </c>
      <c r="P13" s="256">
        <f>R8/Q8</f>
        <v>4.728708045015879</v>
      </c>
      <c r="Q13" s="79" t="s">
        <v>282</v>
      </c>
      <c r="R13" s="80" t="s">
        <v>282</v>
      </c>
      <c r="S13" s="80" t="s">
        <v>282</v>
      </c>
    </row>
    <row r="14" spans="3:19" ht="12">
      <c r="C14" s="212" t="s">
        <v>264</v>
      </c>
      <c r="D14" s="209">
        <v>2</v>
      </c>
      <c r="E14" s="213"/>
      <c r="F14" s="187"/>
      <c r="G14" s="188"/>
      <c r="H14" s="189"/>
      <c r="I14" s="232" t="s">
        <v>264</v>
      </c>
      <c r="J14" s="231">
        <v>10</v>
      </c>
      <c r="K14" s="213"/>
      <c r="N14" s="289"/>
      <c r="O14" s="257" t="s">
        <v>307</v>
      </c>
      <c r="P14" s="256">
        <f>J14/D14</f>
        <v>5</v>
      </c>
      <c r="Q14" s="80" t="s">
        <v>282</v>
      </c>
      <c r="R14" s="80" t="s">
        <v>282</v>
      </c>
      <c r="S14" s="80" t="s">
        <v>282</v>
      </c>
    </row>
    <row r="15" spans="3:17" ht="12">
      <c r="C15" s="227" t="s">
        <v>118</v>
      </c>
      <c r="D15" s="228">
        <f>COUNT(D18:D52)</f>
        <v>35</v>
      </c>
      <c r="E15" s="213"/>
      <c r="F15" s="187"/>
      <c r="G15" s="188"/>
      <c r="H15" s="189"/>
      <c r="I15" s="240" t="s">
        <v>118</v>
      </c>
      <c r="J15" s="241">
        <f>COUNT(J18:J52)</f>
        <v>35</v>
      </c>
      <c r="K15" s="213"/>
      <c r="N15" s="188"/>
      <c r="Q15" s="187" t="s">
        <v>283</v>
      </c>
    </row>
    <row r="16" spans="3:13" ht="12">
      <c r="C16" s="214" t="s">
        <v>115</v>
      </c>
      <c r="D16" s="215">
        <f>AVERAGE(D18:D51)</f>
        <v>3.1194922181340714</v>
      </c>
      <c r="E16" s="215"/>
      <c r="F16" s="216">
        <f>AVERAGE(F18:F51)</f>
        <v>0.24458112615006228</v>
      </c>
      <c r="G16" s="216">
        <f>AVERAGE(G18:G51)</f>
        <v>0.17647058823529413</v>
      </c>
      <c r="H16" s="189"/>
      <c r="I16" s="242" t="s">
        <v>115</v>
      </c>
      <c r="J16" s="243">
        <f>AVERAGE(J18:J51)</f>
        <v>3.9557396460495577</v>
      </c>
      <c r="K16" s="243"/>
      <c r="L16" s="244">
        <f>AVERAGE(L18:L51)</f>
        <v>0.6866854710324358</v>
      </c>
      <c r="M16" s="244">
        <f>AVERAGE(M18:M51)</f>
        <v>0.6470588235294118</v>
      </c>
    </row>
    <row r="17" spans="2:19" ht="24.75" customHeight="1">
      <c r="B17" s="210"/>
      <c r="C17" s="217" t="s">
        <v>237</v>
      </c>
      <c r="D17" s="218" t="s">
        <v>248</v>
      </c>
      <c r="E17" s="219" t="s">
        <v>275</v>
      </c>
      <c r="F17" s="219" t="s">
        <v>263</v>
      </c>
      <c r="G17" s="219" t="s">
        <v>262</v>
      </c>
      <c r="H17" s="210"/>
      <c r="I17" s="233" t="s">
        <v>237</v>
      </c>
      <c r="J17" s="234" t="s">
        <v>248</v>
      </c>
      <c r="K17" s="236" t="s">
        <v>275</v>
      </c>
      <c r="L17" s="236" t="s">
        <v>263</v>
      </c>
      <c r="M17" s="236" t="s">
        <v>262</v>
      </c>
      <c r="Q17" s="245" t="s">
        <v>261</v>
      </c>
      <c r="R17" s="297"/>
      <c r="S17" s="297"/>
    </row>
    <row r="18" spans="2:19" ht="12">
      <c r="B18" s="186"/>
      <c r="C18" s="200" t="s">
        <v>22</v>
      </c>
      <c r="D18" s="220">
        <f ca="1">$D$10+$D$11*NORMSINV(RAND())</f>
        <v>-0.20449066582854147</v>
      </c>
      <c r="E18" s="221">
        <f>LN($D$12)+LN($D$14)*(D18-$D$10)/2/$D$11</f>
        <v>-2.3145646394007935</v>
      </c>
      <c r="F18" s="222">
        <f>EXP(E18)/(1+EXP(E18))</f>
        <v>0.08992388575177092</v>
      </c>
      <c r="G18" s="223">
        <f ca="1">IF(RAND()&lt;F18,1,0)</f>
        <v>0</v>
      </c>
      <c r="H18" s="186"/>
      <c r="I18" s="229" t="s">
        <v>38</v>
      </c>
      <c r="J18" s="235">
        <f aca="true" ca="1" t="shared" si="0" ref="J18:J52">$J$10+$J$11*NORMSINV(RAND())</f>
        <v>5.236538666966589</v>
      </c>
      <c r="K18" s="237">
        <f aca="true" t="shared" si="1" ref="K18:K52">LN($J$12)+LN($J$14)*(J18-$J$10)/2/$J$11</f>
        <v>2.522230039402108</v>
      </c>
      <c r="L18" s="238">
        <f>EXP(K18)/(1+EXP(K18))</f>
        <v>0.9256856088792047</v>
      </c>
      <c r="M18" s="239">
        <f aca="true" ca="1" t="shared" si="2" ref="M18:M52">IF(RAND()&lt;L18,1,0)</f>
        <v>1</v>
      </c>
      <c r="Q18" s="245" t="s">
        <v>276</v>
      </c>
      <c r="R18" s="246">
        <f>N10</f>
        <v>3.5</v>
      </c>
      <c r="S18" s="247">
        <v>0</v>
      </c>
    </row>
    <row r="19" spans="3:19" ht="12">
      <c r="C19" s="200" t="s">
        <v>68</v>
      </c>
      <c r="D19" s="220">
        <f aca="true" ca="1" t="shared" si="3" ref="D19:D52">$D$10+$D$11*NORMSINV(RAND())</f>
        <v>2.581087085984495</v>
      </c>
      <c r="E19" s="224">
        <f aca="true" t="shared" si="4" ref="E19:E52">LN($D$12)+LN($D$14)*(D19-$D$10)/2/$D$11</f>
        <v>-1.3491569569509352</v>
      </c>
      <c r="F19" s="225">
        <f aca="true" t="shared" si="5" ref="F19:F52">EXP(E19)/(1+EXP(E19))</f>
        <v>0.20600823319864311</v>
      </c>
      <c r="G19" s="226">
        <f aca="true" ca="1" t="shared" si="6" ref="G19:G52">IF(RAND()&lt;F19,1,0)</f>
        <v>0</v>
      </c>
      <c r="H19" s="189"/>
      <c r="I19" s="229" t="s">
        <v>42</v>
      </c>
      <c r="J19" s="235">
        <f ca="1" t="shared" si="0"/>
        <v>5.508527239303689</v>
      </c>
      <c r="K19" s="237">
        <f t="shared" si="1"/>
        <v>2.8353684554661776</v>
      </c>
      <c r="L19" s="238">
        <f aca="true" t="shared" si="7" ref="L19:L52">EXP(K19)/(1+EXP(K19))</f>
        <v>0.9445574130295654</v>
      </c>
      <c r="M19" s="239">
        <f ca="1" t="shared" si="2"/>
        <v>1</v>
      </c>
      <c r="Q19" s="248"/>
      <c r="R19" s="249">
        <f>R18</f>
        <v>3.5</v>
      </c>
      <c r="S19" s="250">
        <v>1</v>
      </c>
    </row>
    <row r="20" spans="3:13" ht="12">
      <c r="C20" s="200" t="s">
        <v>69</v>
      </c>
      <c r="D20" s="220">
        <f ca="1" t="shared" si="3"/>
        <v>4.009859258782324</v>
      </c>
      <c r="E20" s="224">
        <f t="shared" si="4"/>
        <v>-0.853982255332274</v>
      </c>
      <c r="F20" s="225">
        <f t="shared" si="5"/>
        <v>0.29859815637648124</v>
      </c>
      <c r="G20" s="226">
        <f ca="1" t="shared" si="6"/>
        <v>0</v>
      </c>
      <c r="H20" s="189"/>
      <c r="I20" s="229" t="s">
        <v>39</v>
      </c>
      <c r="J20" s="235">
        <f ca="1" t="shared" si="0"/>
        <v>4.187527457140222</v>
      </c>
      <c r="K20" s="237">
        <f t="shared" si="1"/>
        <v>1.3145112523371871</v>
      </c>
      <c r="L20" s="238">
        <f t="shared" si="7"/>
        <v>0.7882670724921039</v>
      </c>
      <c r="M20" s="239">
        <f ca="1" t="shared" si="2"/>
        <v>0</v>
      </c>
    </row>
    <row r="21" spans="3:13" ht="12">
      <c r="C21" s="200" t="s">
        <v>23</v>
      </c>
      <c r="D21" s="220">
        <f ca="1" t="shared" si="3"/>
        <v>2.2485541310658497</v>
      </c>
      <c r="E21" s="224">
        <f t="shared" si="4"/>
        <v>-1.4644040970234984</v>
      </c>
      <c r="F21" s="225">
        <f t="shared" si="5"/>
        <v>0.18779465406320076</v>
      </c>
      <c r="G21" s="226">
        <f ca="1" t="shared" si="6"/>
        <v>0</v>
      </c>
      <c r="H21" s="189"/>
      <c r="I21" s="229" t="s">
        <v>45</v>
      </c>
      <c r="J21" s="235">
        <f ca="1" t="shared" si="0"/>
        <v>4.902385523474422</v>
      </c>
      <c r="K21" s="237">
        <f t="shared" si="1"/>
        <v>2.137522015911026</v>
      </c>
      <c r="L21" s="238">
        <f t="shared" si="7"/>
        <v>0.8944969863469598</v>
      </c>
      <c r="M21" s="239">
        <f ca="1" t="shared" si="2"/>
        <v>1</v>
      </c>
    </row>
    <row r="22" spans="3:13" ht="12">
      <c r="C22" s="200" t="s">
        <v>24</v>
      </c>
      <c r="D22" s="220">
        <f ca="1" t="shared" si="3"/>
        <v>4.085428696150883</v>
      </c>
      <c r="E22" s="224">
        <f t="shared" si="4"/>
        <v>-0.8277918841080151</v>
      </c>
      <c r="F22" s="225">
        <f t="shared" si="5"/>
        <v>0.3041121670016802</v>
      </c>
      <c r="G22" s="226">
        <f ca="1" t="shared" si="6"/>
        <v>1</v>
      </c>
      <c r="H22" s="189"/>
      <c r="I22" s="229" t="s">
        <v>88</v>
      </c>
      <c r="J22" s="235">
        <f ca="1" t="shared" si="0"/>
        <v>3.850725046223187</v>
      </c>
      <c r="K22" s="237">
        <f t="shared" si="1"/>
        <v>0.9267531470061772</v>
      </c>
      <c r="L22" s="238">
        <f t="shared" si="7"/>
        <v>0.716416105392259</v>
      </c>
      <c r="M22" s="239">
        <f ca="1" t="shared" si="2"/>
        <v>1</v>
      </c>
    </row>
    <row r="23" spans="3:13" ht="12">
      <c r="C23" s="200" t="s">
        <v>70</v>
      </c>
      <c r="D23" s="220">
        <f ca="1" t="shared" si="3"/>
        <v>4.043127166464053</v>
      </c>
      <c r="E23" s="224">
        <f t="shared" si="4"/>
        <v>-0.8424524771259145</v>
      </c>
      <c r="F23" s="225">
        <f t="shared" si="5"/>
        <v>0.30101851551177045</v>
      </c>
      <c r="G23" s="226">
        <f ca="1" t="shared" si="6"/>
        <v>1</v>
      </c>
      <c r="H23" s="189"/>
      <c r="I23" s="229" t="s">
        <v>40</v>
      </c>
      <c r="J23" s="235">
        <f ca="1" t="shared" si="0"/>
        <v>6.805462647252965</v>
      </c>
      <c r="K23" s="237">
        <f t="shared" si="1"/>
        <v>4.328520523926255</v>
      </c>
      <c r="L23" s="238">
        <f t="shared" si="7"/>
        <v>0.9869845917682086</v>
      </c>
      <c r="M23" s="239">
        <f ca="1" t="shared" si="2"/>
        <v>1</v>
      </c>
    </row>
    <row r="24" spans="3:13" ht="12">
      <c r="C24" s="200" t="s">
        <v>71</v>
      </c>
      <c r="D24" s="220">
        <f ca="1" t="shared" si="3"/>
        <v>2.945963732054607</v>
      </c>
      <c r="E24" s="224">
        <f t="shared" si="4"/>
        <v>-1.2227003477131015</v>
      </c>
      <c r="F24" s="225">
        <f t="shared" si="5"/>
        <v>0.227461588687993</v>
      </c>
      <c r="G24" s="226">
        <f ca="1" t="shared" si="6"/>
        <v>0</v>
      </c>
      <c r="H24" s="189"/>
      <c r="I24" s="229" t="s">
        <v>46</v>
      </c>
      <c r="J24" s="235">
        <f ca="1" t="shared" si="0"/>
        <v>1.7402675197529578</v>
      </c>
      <c r="K24" s="237">
        <f t="shared" si="1"/>
        <v>-1.5030008729175413</v>
      </c>
      <c r="L24" s="238">
        <f t="shared" si="7"/>
        <v>0.18197838072079248</v>
      </c>
      <c r="M24" s="239">
        <f ca="1" t="shared" si="2"/>
        <v>1</v>
      </c>
    </row>
    <row r="25" spans="3:13" ht="12">
      <c r="C25" s="200" t="s">
        <v>72</v>
      </c>
      <c r="D25" s="220">
        <f ca="1" t="shared" si="3"/>
        <v>3.72834125129843</v>
      </c>
      <c r="E25" s="224">
        <f t="shared" si="4"/>
        <v>-0.9515489619144315</v>
      </c>
      <c r="F25" s="225">
        <f t="shared" si="5"/>
        <v>0.2785734199407008</v>
      </c>
      <c r="G25" s="226">
        <f ca="1" t="shared" si="6"/>
        <v>0</v>
      </c>
      <c r="H25" s="189"/>
      <c r="I25" s="229" t="s">
        <v>47</v>
      </c>
      <c r="J25" s="235">
        <f ca="1" t="shared" si="0"/>
        <v>3.004142135216393</v>
      </c>
      <c r="K25" s="237">
        <f t="shared" si="1"/>
        <v>-0.04791144842769701</v>
      </c>
      <c r="L25" s="238">
        <f t="shared" si="7"/>
        <v>0.4880244286393181</v>
      </c>
      <c r="M25" s="239">
        <f ca="1" t="shared" si="2"/>
        <v>1</v>
      </c>
    </row>
    <row r="26" spans="3:13" ht="12">
      <c r="C26" s="200" t="s">
        <v>73</v>
      </c>
      <c r="D26" s="220">
        <f ca="1" t="shared" si="3"/>
        <v>1.0192765610274497</v>
      </c>
      <c r="E26" s="224">
        <f t="shared" si="4"/>
        <v>-1.8904392379223471</v>
      </c>
      <c r="F26" s="225">
        <f t="shared" si="5"/>
        <v>0.13119439592359225</v>
      </c>
      <c r="G26" s="226">
        <f ca="1" t="shared" si="6"/>
        <v>0</v>
      </c>
      <c r="H26" s="189"/>
      <c r="I26" s="229" t="s">
        <v>48</v>
      </c>
      <c r="J26" s="235">
        <f ca="1" t="shared" si="0"/>
        <v>4.785719631990055</v>
      </c>
      <c r="K26" s="237">
        <f t="shared" si="1"/>
        <v>2.003205444614644</v>
      </c>
      <c r="L26" s="238">
        <f t="shared" si="7"/>
        <v>0.8811332185117857</v>
      </c>
      <c r="M26" s="239">
        <f ca="1" t="shared" si="2"/>
        <v>1</v>
      </c>
    </row>
    <row r="27" spans="3:13" ht="12">
      <c r="C27" s="200" t="s">
        <v>74</v>
      </c>
      <c r="D27" s="220">
        <f ca="1" t="shared" si="3"/>
        <v>4.094547602912747</v>
      </c>
      <c r="E27" s="224">
        <f t="shared" si="4"/>
        <v>-0.8246315118521277</v>
      </c>
      <c r="F27" s="225">
        <f t="shared" si="5"/>
        <v>0.30478140387830205</v>
      </c>
      <c r="G27" s="226">
        <f ca="1" t="shared" si="6"/>
        <v>0</v>
      </c>
      <c r="H27" s="189"/>
      <c r="I27" s="229" t="s">
        <v>49</v>
      </c>
      <c r="J27" s="235">
        <f ca="1" t="shared" si="0"/>
        <v>3.533306685198295</v>
      </c>
      <c r="K27" s="237">
        <f t="shared" si="1"/>
        <v>0.5613117538369181</v>
      </c>
      <c r="L27" s="238">
        <f t="shared" si="7"/>
        <v>0.6367560004476569</v>
      </c>
      <c r="M27" s="239">
        <f ca="1" t="shared" si="2"/>
        <v>1</v>
      </c>
    </row>
    <row r="28" spans="3:13" ht="12">
      <c r="C28" s="200" t="s">
        <v>25</v>
      </c>
      <c r="D28" s="220">
        <f ca="1" t="shared" si="3"/>
        <v>3.830248056472252</v>
      </c>
      <c r="E28" s="224">
        <f t="shared" si="4"/>
        <v>-0.9162307545713784</v>
      </c>
      <c r="F28" s="225">
        <f t="shared" si="5"/>
        <v>0.2857265261374722</v>
      </c>
      <c r="G28" s="226">
        <f ca="1" t="shared" si="6"/>
        <v>1</v>
      </c>
      <c r="H28" s="189"/>
      <c r="I28" s="229" t="s">
        <v>50</v>
      </c>
      <c r="J28" s="235">
        <f ca="1" t="shared" si="0"/>
        <v>2.790103614031669</v>
      </c>
      <c r="K28" s="237">
        <f t="shared" si="1"/>
        <v>-0.2943324025309151</v>
      </c>
      <c r="L28" s="238">
        <f t="shared" si="7"/>
        <v>0.4269435555848422</v>
      </c>
      <c r="M28" s="239">
        <f ca="1" t="shared" si="2"/>
        <v>0</v>
      </c>
    </row>
    <row r="29" spans="3:13" ht="12">
      <c r="C29" s="200" t="s">
        <v>75</v>
      </c>
      <c r="D29" s="220">
        <f ca="1" t="shared" si="3"/>
        <v>3.7297339515680195</v>
      </c>
      <c r="E29" s="224">
        <f t="shared" si="4"/>
        <v>-0.951066288781816</v>
      </c>
      <c r="F29" s="225">
        <f t="shared" si="5"/>
        <v>0.2786704332568879</v>
      </c>
      <c r="G29" s="226">
        <f ca="1" t="shared" si="6"/>
        <v>0</v>
      </c>
      <c r="H29" s="189"/>
      <c r="I29" s="229" t="s">
        <v>89</v>
      </c>
      <c r="J29" s="235">
        <f ca="1" t="shared" si="0"/>
        <v>3.737933570203841</v>
      </c>
      <c r="K29" s="237">
        <f t="shared" si="1"/>
        <v>0.7968971613567066</v>
      </c>
      <c r="L29" s="238">
        <f t="shared" si="7"/>
        <v>0.6893103629166688</v>
      </c>
      <c r="M29" s="239">
        <f ca="1" t="shared" si="2"/>
        <v>1</v>
      </c>
    </row>
    <row r="30" spans="3:13" ht="12">
      <c r="C30" s="200" t="s">
        <v>76</v>
      </c>
      <c r="D30" s="220">
        <f ca="1" t="shared" si="3"/>
        <v>4.069910854297893</v>
      </c>
      <c r="E30" s="224">
        <f t="shared" si="4"/>
        <v>-0.8331699582724026</v>
      </c>
      <c r="F30" s="225">
        <f t="shared" si="5"/>
        <v>0.30297521667107263</v>
      </c>
      <c r="G30" s="226">
        <f ca="1" t="shared" si="6"/>
        <v>0</v>
      </c>
      <c r="H30" s="189"/>
      <c r="I30" s="229" t="s">
        <v>51</v>
      </c>
      <c r="J30" s="235">
        <f ca="1" t="shared" si="0"/>
        <v>4.61972713454514</v>
      </c>
      <c r="K30" s="237">
        <f t="shared" si="1"/>
        <v>1.8120995195318867</v>
      </c>
      <c r="L30" s="238">
        <f t="shared" si="7"/>
        <v>0.8596154287911287</v>
      </c>
      <c r="M30" s="239">
        <f ca="1" t="shared" si="2"/>
        <v>1</v>
      </c>
    </row>
    <row r="31" spans="3:13" ht="12">
      <c r="C31" s="200" t="s">
        <v>26</v>
      </c>
      <c r="D31" s="220">
        <f ca="1" t="shared" si="3"/>
        <v>2.489167480175447</v>
      </c>
      <c r="E31" s="224">
        <f t="shared" si="4"/>
        <v>-1.3810138647532968</v>
      </c>
      <c r="F31" s="225">
        <f t="shared" si="5"/>
        <v>0.2008462179876554</v>
      </c>
      <c r="G31" s="226">
        <f ca="1" t="shared" si="6"/>
        <v>0</v>
      </c>
      <c r="H31" s="189"/>
      <c r="I31" s="229" t="s">
        <v>52</v>
      </c>
      <c r="J31" s="235">
        <f ca="1" t="shared" si="0"/>
        <v>4.491229850836614</v>
      </c>
      <c r="K31" s="237">
        <f t="shared" si="1"/>
        <v>1.664161554553148</v>
      </c>
      <c r="L31" s="238">
        <f t="shared" si="7"/>
        <v>0.8407958515645021</v>
      </c>
      <c r="M31" s="239">
        <f ca="1" t="shared" si="2"/>
        <v>0</v>
      </c>
    </row>
    <row r="32" spans="3:13" ht="12">
      <c r="C32" s="200" t="s">
        <v>77</v>
      </c>
      <c r="D32" s="220">
        <f ca="1" t="shared" si="3"/>
        <v>3.751547075139132</v>
      </c>
      <c r="E32" s="224">
        <f t="shared" si="4"/>
        <v>-0.9435064362305547</v>
      </c>
      <c r="F32" s="225">
        <f t="shared" si="5"/>
        <v>0.28019260325685047</v>
      </c>
      <c r="G32" s="226">
        <f ca="1" t="shared" si="6"/>
        <v>0</v>
      </c>
      <c r="H32" s="189"/>
      <c r="I32" s="229" t="s">
        <v>90</v>
      </c>
      <c r="J32" s="235">
        <f ca="1" t="shared" si="0"/>
        <v>3.321339821803562</v>
      </c>
      <c r="K32" s="237">
        <f t="shared" si="1"/>
        <v>0.3172758839062094</v>
      </c>
      <c r="L32" s="238">
        <f t="shared" si="7"/>
        <v>0.5786602211029169</v>
      </c>
      <c r="M32" s="239">
        <f ca="1" t="shared" si="2"/>
        <v>1</v>
      </c>
    </row>
    <row r="33" spans="3:13" ht="12">
      <c r="C33" s="200" t="s">
        <v>27</v>
      </c>
      <c r="D33" s="220">
        <f ca="1" t="shared" si="3"/>
        <v>3.0188025007775328</v>
      </c>
      <c r="E33" s="224">
        <f t="shared" si="4"/>
        <v>-1.1974563541252246</v>
      </c>
      <c r="F33" s="225">
        <f t="shared" si="5"/>
        <v>0.23192802600029308</v>
      </c>
      <c r="G33" s="226">
        <f ca="1" t="shared" si="6"/>
        <v>0</v>
      </c>
      <c r="H33" s="189"/>
      <c r="I33" s="229" t="s">
        <v>93</v>
      </c>
      <c r="J33" s="235">
        <f ca="1" t="shared" si="0"/>
        <v>2.249614339960747</v>
      </c>
      <c r="K33" s="237">
        <f t="shared" si="1"/>
        <v>-0.9165936752303543</v>
      </c>
      <c r="L33" s="238">
        <f t="shared" si="7"/>
        <v>0.2856524645532333</v>
      </c>
      <c r="M33" s="239">
        <f ca="1" t="shared" si="2"/>
        <v>0</v>
      </c>
    </row>
    <row r="34" spans="3:13" ht="12">
      <c r="C34" s="200" t="s">
        <v>78</v>
      </c>
      <c r="D34" s="220">
        <f ca="1" t="shared" si="3"/>
        <v>4.406255357928806</v>
      </c>
      <c r="E34" s="224">
        <f t="shared" si="4"/>
        <v>-0.7166018360781017</v>
      </c>
      <c r="F34" s="225">
        <f t="shared" si="5"/>
        <v>0.32814172024443755</v>
      </c>
      <c r="G34" s="226">
        <f ca="1" t="shared" si="6"/>
        <v>0</v>
      </c>
      <c r="H34" s="189"/>
      <c r="I34" s="229" t="s">
        <v>53</v>
      </c>
      <c r="J34" s="235">
        <f ca="1" t="shared" si="0"/>
        <v>2.755274082894341</v>
      </c>
      <c r="K34" s="237">
        <f t="shared" si="1"/>
        <v>-0.3344313821273064</v>
      </c>
      <c r="L34" s="238">
        <f t="shared" si="7"/>
        <v>0.41716279189390737</v>
      </c>
      <c r="M34" s="239">
        <f ca="1" t="shared" si="2"/>
        <v>1</v>
      </c>
    </row>
    <row r="35" spans="3:13" ht="12">
      <c r="C35" s="200" t="s">
        <v>28</v>
      </c>
      <c r="D35" s="220">
        <f ca="1" t="shared" si="3"/>
        <v>3.9877751247779307</v>
      </c>
      <c r="E35" s="224">
        <f t="shared" si="4"/>
        <v>-0.8616360329424007</v>
      </c>
      <c r="F35" s="225">
        <f t="shared" si="5"/>
        <v>0.2969976448566022</v>
      </c>
      <c r="G35" s="226">
        <f ca="1" t="shared" si="6"/>
        <v>0</v>
      </c>
      <c r="H35" s="189"/>
      <c r="I35" s="229" t="s">
        <v>54</v>
      </c>
      <c r="J35" s="235">
        <f ca="1" t="shared" si="0"/>
        <v>4.58237416026315</v>
      </c>
      <c r="K35" s="237">
        <f t="shared" si="1"/>
        <v>1.7690953186515372</v>
      </c>
      <c r="L35" s="238">
        <f t="shared" si="7"/>
        <v>0.8543451290268651</v>
      </c>
      <c r="M35" s="239">
        <f ca="1" t="shared" si="2"/>
        <v>1</v>
      </c>
    </row>
    <row r="36" spans="3:13" ht="12">
      <c r="C36" s="200" t="s">
        <v>29</v>
      </c>
      <c r="D36" s="220">
        <f ca="1" t="shared" si="3"/>
        <v>2.8788631053445206</v>
      </c>
      <c r="E36" s="224">
        <f t="shared" si="4"/>
        <v>-1.2459556528220523</v>
      </c>
      <c r="F36" s="225">
        <f t="shared" si="5"/>
        <v>0.22340101976253335</v>
      </c>
      <c r="G36" s="226">
        <f ca="1" t="shared" si="6"/>
        <v>0</v>
      </c>
      <c r="H36" s="189"/>
      <c r="I36" s="229" t="s">
        <v>55</v>
      </c>
      <c r="J36" s="235">
        <f ca="1" t="shared" si="0"/>
        <v>3.8158293519033575</v>
      </c>
      <c r="K36" s="237">
        <f t="shared" si="1"/>
        <v>0.8865779942309191</v>
      </c>
      <c r="L36" s="238">
        <f t="shared" si="7"/>
        <v>0.7081834862358455</v>
      </c>
      <c r="M36" s="239">
        <f ca="1" t="shared" si="2"/>
        <v>1</v>
      </c>
    </row>
    <row r="37" spans="3:13" ht="12">
      <c r="C37" s="200" t="s">
        <v>79</v>
      </c>
      <c r="D37" s="220">
        <f ca="1" t="shared" si="3"/>
        <v>1.3696385798890318</v>
      </c>
      <c r="E37" s="224">
        <f t="shared" si="4"/>
        <v>-1.769013015147749</v>
      </c>
      <c r="F37" s="225">
        <f t="shared" si="5"/>
        <v>0.14566511308111885</v>
      </c>
      <c r="G37" s="226">
        <f ca="1" t="shared" si="6"/>
        <v>0</v>
      </c>
      <c r="H37" s="189"/>
      <c r="I37" s="229" t="s">
        <v>94</v>
      </c>
      <c r="J37" s="235">
        <f ca="1" t="shared" si="0"/>
        <v>4.5142361941642655</v>
      </c>
      <c r="K37" s="237">
        <f t="shared" si="1"/>
        <v>1.6906485861484244</v>
      </c>
      <c r="L37" s="238">
        <f t="shared" si="7"/>
        <v>0.8443094362223561</v>
      </c>
      <c r="M37" s="239">
        <f ca="1" t="shared" si="2"/>
        <v>1</v>
      </c>
    </row>
    <row r="38" spans="3:13" ht="12">
      <c r="C38" s="200" t="s">
        <v>80</v>
      </c>
      <c r="D38" s="220">
        <f ca="1" t="shared" si="3"/>
        <v>3.8612623026266064</v>
      </c>
      <c r="E38" s="224">
        <f t="shared" si="4"/>
        <v>-0.9054820359318368</v>
      </c>
      <c r="F38" s="225">
        <f t="shared" si="5"/>
        <v>0.2879252414070812</v>
      </c>
      <c r="G38" s="226">
        <f ca="1" t="shared" si="6"/>
        <v>0</v>
      </c>
      <c r="H38" s="189"/>
      <c r="I38" s="229" t="s">
        <v>56</v>
      </c>
      <c r="J38" s="235">
        <f ca="1" t="shared" si="0"/>
        <v>4.754496998507184</v>
      </c>
      <c r="K38" s="237">
        <f t="shared" si="1"/>
        <v>1.9672590594038062</v>
      </c>
      <c r="L38" s="238">
        <f t="shared" si="7"/>
        <v>0.8773164043243211</v>
      </c>
      <c r="M38" s="239">
        <f ca="1" t="shared" si="2"/>
        <v>1</v>
      </c>
    </row>
    <row r="39" spans="3:13" ht="12">
      <c r="C39" s="200" t="s">
        <v>30</v>
      </c>
      <c r="D39" s="220">
        <f ca="1" t="shared" si="3"/>
        <v>3.8201799901969977</v>
      </c>
      <c r="E39" s="224">
        <f t="shared" si="4"/>
        <v>-0.9197200804475698</v>
      </c>
      <c r="F39" s="225">
        <f t="shared" si="5"/>
        <v>0.2850149332702999</v>
      </c>
      <c r="G39" s="226">
        <f ca="1" t="shared" si="6"/>
        <v>0</v>
      </c>
      <c r="H39" s="189"/>
      <c r="I39" s="229" t="s">
        <v>95</v>
      </c>
      <c r="J39" s="235">
        <f ca="1" t="shared" si="0"/>
        <v>4.103905870809561</v>
      </c>
      <c r="K39" s="237">
        <f t="shared" si="1"/>
        <v>1.2182383432684394</v>
      </c>
      <c r="L39" s="238">
        <f t="shared" si="7"/>
        <v>0.7717533819870374</v>
      </c>
      <c r="M39" s="239">
        <f ca="1" t="shared" si="2"/>
        <v>1</v>
      </c>
    </row>
    <row r="40" spans="3:13" ht="12">
      <c r="C40" s="200" t="s">
        <v>81</v>
      </c>
      <c r="D40" s="220">
        <f ca="1" t="shared" si="3"/>
        <v>3.4179101697152854</v>
      </c>
      <c r="E40" s="224">
        <f t="shared" si="4"/>
        <v>-1.059136176393197</v>
      </c>
      <c r="F40" s="225">
        <f t="shared" si="5"/>
        <v>0.2574745671150728</v>
      </c>
      <c r="G40" s="226">
        <f ca="1" t="shared" si="6"/>
        <v>0</v>
      </c>
      <c r="H40" s="189"/>
      <c r="I40" s="229" t="s">
        <v>96</v>
      </c>
      <c r="J40" s="235">
        <f ca="1" t="shared" si="0"/>
        <v>2.7866139146026936</v>
      </c>
      <c r="K40" s="237">
        <f t="shared" si="1"/>
        <v>-0.2983500674730093</v>
      </c>
      <c r="L40" s="238">
        <f t="shared" si="7"/>
        <v>0.42596087236310914</v>
      </c>
      <c r="M40" s="239">
        <f ca="1" t="shared" si="2"/>
        <v>0</v>
      </c>
    </row>
    <row r="41" spans="3:13" ht="12">
      <c r="C41" s="200" t="s">
        <v>31</v>
      </c>
      <c r="D41" s="220">
        <f ca="1" t="shared" si="3"/>
        <v>1.5964984449692625</v>
      </c>
      <c r="E41" s="224">
        <f t="shared" si="4"/>
        <v>-1.6903893772164635</v>
      </c>
      <c r="F41" s="225">
        <f t="shared" si="5"/>
        <v>0.15572464009515796</v>
      </c>
      <c r="G41" s="226">
        <f ca="1" t="shared" si="6"/>
        <v>0</v>
      </c>
      <c r="H41" s="189"/>
      <c r="I41" s="229" t="s">
        <v>57</v>
      </c>
      <c r="J41" s="235">
        <f ca="1" t="shared" si="0"/>
        <v>4.810239901198803</v>
      </c>
      <c r="K41" s="237">
        <f t="shared" si="1"/>
        <v>2.031435447792776</v>
      </c>
      <c r="L41" s="238">
        <f t="shared" si="7"/>
        <v>0.8840582913556455</v>
      </c>
      <c r="M41" s="239">
        <f ca="1" t="shared" si="2"/>
        <v>0</v>
      </c>
    </row>
    <row r="42" spans="3:13" ht="12">
      <c r="C42" s="200" t="s">
        <v>32</v>
      </c>
      <c r="D42" s="220">
        <f ca="1" t="shared" si="3"/>
        <v>4.255782566114071</v>
      </c>
      <c r="E42" s="224">
        <f t="shared" si="4"/>
        <v>-0.7687517317767854</v>
      </c>
      <c r="F42" s="225">
        <f t="shared" si="5"/>
        <v>0.3167491935849663</v>
      </c>
      <c r="G42" s="226">
        <f ca="1" t="shared" si="6"/>
        <v>0</v>
      </c>
      <c r="H42" s="189"/>
      <c r="I42" s="229" t="s">
        <v>58</v>
      </c>
      <c r="J42" s="235">
        <f ca="1" t="shared" si="0"/>
        <v>2.1753894536701983</v>
      </c>
      <c r="K42" s="237">
        <f t="shared" si="1"/>
        <v>-1.0020482335812517</v>
      </c>
      <c r="L42" s="238">
        <f t="shared" si="7"/>
        <v>0.2685389048423297</v>
      </c>
      <c r="M42" s="239">
        <f ca="1" t="shared" si="2"/>
        <v>0</v>
      </c>
    </row>
    <row r="43" spans="3:13" ht="12">
      <c r="C43" s="200" t="s">
        <v>33</v>
      </c>
      <c r="D43" s="220">
        <f ca="1" t="shared" si="3"/>
        <v>3.5392458013914005</v>
      </c>
      <c r="E43" s="224">
        <f t="shared" si="4"/>
        <v>-1.0170844508943173</v>
      </c>
      <c r="F43" s="225">
        <f t="shared" si="5"/>
        <v>0.26559570308234304</v>
      </c>
      <c r="G43" s="226">
        <f ca="1" t="shared" si="6"/>
        <v>0</v>
      </c>
      <c r="H43" s="189"/>
      <c r="I43" s="229" t="s">
        <v>97</v>
      </c>
      <c r="J43" s="235">
        <f ca="1" t="shared" si="0"/>
        <v>3.1728596332444723</v>
      </c>
      <c r="K43" s="237">
        <f t="shared" si="1"/>
        <v>0.14633174951565675</v>
      </c>
      <c r="L43" s="238">
        <f t="shared" si="7"/>
        <v>0.5365177977138035</v>
      </c>
      <c r="M43" s="239">
        <f ca="1" t="shared" si="2"/>
        <v>0</v>
      </c>
    </row>
    <row r="44" spans="3:13" ht="12">
      <c r="C44" s="200" t="s">
        <v>82</v>
      </c>
      <c r="D44" s="220">
        <f ca="1" t="shared" si="3"/>
        <v>2.8574320761922456</v>
      </c>
      <c r="E44" s="224">
        <f t="shared" si="4"/>
        <v>-1.2533830815387512</v>
      </c>
      <c r="F44" s="225">
        <f t="shared" si="5"/>
        <v>0.2221150606524352</v>
      </c>
      <c r="G44" s="226">
        <f ca="1" t="shared" si="6"/>
        <v>0</v>
      </c>
      <c r="H44" s="189"/>
      <c r="I44" s="229" t="s">
        <v>59</v>
      </c>
      <c r="J44" s="235">
        <f ca="1" t="shared" si="0"/>
        <v>5.464941632853272</v>
      </c>
      <c r="K44" s="237">
        <f t="shared" si="1"/>
        <v>2.7851886716252596</v>
      </c>
      <c r="L44" s="238">
        <f t="shared" si="7"/>
        <v>0.9418701802688328</v>
      </c>
      <c r="M44" s="239">
        <f ca="1" t="shared" si="2"/>
        <v>1</v>
      </c>
    </row>
    <row r="45" spans="3:13" ht="12">
      <c r="C45" s="200" t="s">
        <v>34</v>
      </c>
      <c r="D45" s="220">
        <f ca="1" t="shared" si="3"/>
        <v>2.7231754439539557</v>
      </c>
      <c r="E45" s="224">
        <f t="shared" si="4"/>
        <v>-1.2999128845924732</v>
      </c>
      <c r="F45" s="225">
        <f t="shared" si="5"/>
        <v>0.2141796787029514</v>
      </c>
      <c r="G45" s="226">
        <f ca="1" t="shared" si="6"/>
        <v>0</v>
      </c>
      <c r="H45" s="189"/>
      <c r="I45" s="229" t="s">
        <v>98</v>
      </c>
      <c r="J45" s="235">
        <f ca="1" t="shared" si="0"/>
        <v>2.9509618839549</v>
      </c>
      <c r="K45" s="237">
        <f t="shared" si="1"/>
        <v>-0.10913747532589291</v>
      </c>
      <c r="L45" s="238">
        <f t="shared" si="7"/>
        <v>0.4727426809337011</v>
      </c>
      <c r="M45" s="239">
        <f ca="1" t="shared" si="2"/>
        <v>0</v>
      </c>
    </row>
    <row r="46" spans="3:13" ht="12">
      <c r="C46" s="200" t="s">
        <v>83</v>
      </c>
      <c r="D46" s="220">
        <f ca="1" t="shared" si="3"/>
        <v>3.537096475736872</v>
      </c>
      <c r="E46" s="224">
        <f t="shared" si="4"/>
        <v>-1.0178293504030882</v>
      </c>
      <c r="F46" s="225">
        <f t="shared" si="5"/>
        <v>0.26545043235965626</v>
      </c>
      <c r="G46" s="226">
        <f ca="1" t="shared" si="6"/>
        <v>0</v>
      </c>
      <c r="H46" s="189"/>
      <c r="I46" s="229" t="s">
        <v>99</v>
      </c>
      <c r="J46" s="235">
        <f ca="1" t="shared" si="0"/>
        <v>3.3206960884794707</v>
      </c>
      <c r="K46" s="237">
        <f t="shared" si="1"/>
        <v>0.3165347585282513</v>
      </c>
      <c r="L46" s="238">
        <f t="shared" si="7"/>
        <v>0.5784795148937353</v>
      </c>
      <c r="M46" s="239">
        <f ca="1" t="shared" si="2"/>
        <v>1</v>
      </c>
    </row>
    <row r="47" spans="3:13" ht="12">
      <c r="C47" s="200" t="s">
        <v>84</v>
      </c>
      <c r="D47" s="220">
        <f ca="1" t="shared" si="3"/>
        <v>3.8772971731299677</v>
      </c>
      <c r="E47" s="224">
        <f t="shared" si="4"/>
        <v>-0.8999247732918125</v>
      </c>
      <c r="F47" s="225">
        <f t="shared" si="5"/>
        <v>0.2890659567319667</v>
      </c>
      <c r="G47" s="226">
        <f ca="1" t="shared" si="6"/>
        <v>1</v>
      </c>
      <c r="H47" s="189"/>
      <c r="I47" s="229" t="s">
        <v>60</v>
      </c>
      <c r="J47" s="235">
        <f ca="1" t="shared" si="0"/>
        <v>3.728582852423296</v>
      </c>
      <c r="K47" s="237">
        <f t="shared" si="1"/>
        <v>0.7861317496715677</v>
      </c>
      <c r="L47" s="238">
        <f t="shared" si="7"/>
        <v>0.6870001393377857</v>
      </c>
      <c r="M47" s="239">
        <f ca="1" t="shared" si="2"/>
        <v>1</v>
      </c>
    </row>
    <row r="48" spans="3:13" ht="12">
      <c r="C48" s="200" t="s">
        <v>85</v>
      </c>
      <c r="D48" s="220">
        <f ca="1" t="shared" si="3"/>
        <v>2.08968277833624</v>
      </c>
      <c r="E48" s="224">
        <f t="shared" si="4"/>
        <v>-1.5194647121316351</v>
      </c>
      <c r="F48" s="225">
        <f t="shared" si="5"/>
        <v>0.17954035679158667</v>
      </c>
      <c r="G48" s="226">
        <f ca="1" t="shared" si="6"/>
        <v>1</v>
      </c>
      <c r="H48" s="189"/>
      <c r="I48" s="229" t="s">
        <v>61</v>
      </c>
      <c r="J48" s="235">
        <f ca="1" t="shared" si="0"/>
        <v>2.806656910331606</v>
      </c>
      <c r="K48" s="237">
        <f t="shared" si="1"/>
        <v>-0.27527471588084085</v>
      </c>
      <c r="L48" s="238">
        <f t="shared" si="7"/>
        <v>0.43161262108626136</v>
      </c>
      <c r="M48" s="239">
        <f ca="1" t="shared" si="2"/>
        <v>0</v>
      </c>
    </row>
    <row r="49" spans="3:13" ht="12">
      <c r="C49" s="200" t="s">
        <v>36</v>
      </c>
      <c r="D49" s="220">
        <f ca="1" t="shared" si="3"/>
        <v>3.967622321561393</v>
      </c>
      <c r="E49" s="224">
        <f t="shared" si="4"/>
        <v>-0.8686204623073619</v>
      </c>
      <c r="F49" s="225">
        <f t="shared" si="5"/>
        <v>0.29554143615696216</v>
      </c>
      <c r="G49" s="226">
        <f ca="1" t="shared" si="6"/>
        <v>0</v>
      </c>
      <c r="H49" s="189"/>
      <c r="I49" s="229" t="s">
        <v>62</v>
      </c>
      <c r="J49" s="235">
        <f ca="1" t="shared" si="0"/>
        <v>5.318791170689071</v>
      </c>
      <c r="K49" s="237">
        <f t="shared" si="1"/>
        <v>2.61692673386852</v>
      </c>
      <c r="L49" s="238">
        <f t="shared" si="7"/>
        <v>0.9319430424440797</v>
      </c>
      <c r="M49" s="239">
        <f ca="1" t="shared" si="2"/>
        <v>1</v>
      </c>
    </row>
    <row r="50" spans="3:13" ht="12">
      <c r="C50" s="200" t="s">
        <v>86</v>
      </c>
      <c r="D50" s="220">
        <f ca="1" t="shared" si="3"/>
        <v>1.5548163928778826</v>
      </c>
      <c r="E50" s="224">
        <f t="shared" si="4"/>
        <v>-1.7048352756600098</v>
      </c>
      <c r="F50" s="225">
        <f t="shared" si="5"/>
        <v>0.15383480486750745</v>
      </c>
      <c r="G50" s="226">
        <f ca="1" t="shared" si="6"/>
        <v>0</v>
      </c>
      <c r="H50" s="189"/>
      <c r="I50" s="229" t="s">
        <v>63</v>
      </c>
      <c r="J50" s="235">
        <f ca="1" t="shared" si="0"/>
        <v>4.906372440080767</v>
      </c>
      <c r="K50" s="237">
        <f t="shared" si="1"/>
        <v>2.142112123283416</v>
      </c>
      <c r="L50" s="238">
        <f t="shared" si="7"/>
        <v>0.8949293808143961</v>
      </c>
      <c r="M50" s="239">
        <f ca="1" t="shared" si="2"/>
        <v>0</v>
      </c>
    </row>
    <row r="51" spans="3:13" ht="12">
      <c r="C51" s="200" t="s">
        <v>37</v>
      </c>
      <c r="D51" s="220">
        <f ca="1" t="shared" si="3"/>
        <v>2.8810965734733833</v>
      </c>
      <c r="E51" s="224">
        <f t="shared" si="4"/>
        <v>-1.2451815917538567</v>
      </c>
      <c r="F51" s="225">
        <f t="shared" si="5"/>
        <v>0.22353534269507364</v>
      </c>
      <c r="G51" s="226">
        <f ca="1" t="shared" si="6"/>
        <v>1</v>
      </c>
      <c r="H51" s="189"/>
      <c r="I51" s="229" t="s">
        <v>64</v>
      </c>
      <c r="J51" s="235">
        <f ca="1" t="shared" si="0"/>
        <v>3.7623745417142236</v>
      </c>
      <c r="K51" s="237">
        <f t="shared" si="1"/>
        <v>0.8250358696857562</v>
      </c>
      <c r="L51" s="238">
        <f t="shared" si="7"/>
        <v>0.6953042686176509</v>
      </c>
      <c r="M51" s="239">
        <f ca="1" t="shared" si="2"/>
        <v>0</v>
      </c>
    </row>
    <row r="52" spans="3:13" ht="12">
      <c r="C52" s="200" t="s">
        <v>87</v>
      </c>
      <c r="D52" s="220">
        <f ca="1" t="shared" si="3"/>
        <v>4.84180895069986</v>
      </c>
      <c r="E52" s="224">
        <f t="shared" si="4"/>
        <v>-0.5656504636720966</v>
      </c>
      <c r="F52" s="225">
        <f t="shared" si="5"/>
        <v>0.3622410621892811</v>
      </c>
      <c r="G52" s="226">
        <f ca="1" t="shared" si="6"/>
        <v>0</v>
      </c>
      <c r="H52" s="189"/>
      <c r="I52" s="229" t="s">
        <v>65</v>
      </c>
      <c r="J52" s="235">
        <f ca="1" t="shared" si="0"/>
        <v>4.298792275660783</v>
      </c>
      <c r="K52" s="237">
        <f t="shared" si="1"/>
        <v>1.4426096085872528</v>
      </c>
      <c r="L52" s="238">
        <f t="shared" si="7"/>
        <v>0.8088584390198098</v>
      </c>
      <c r="M52" s="239">
        <f ca="1" t="shared" si="2"/>
        <v>1</v>
      </c>
    </row>
    <row r="53" spans="6:13" ht="12">
      <c r="F53" s="187"/>
      <c r="G53" s="188"/>
      <c r="H53" s="189"/>
      <c r="I53" s="189"/>
      <c r="M53" s="188"/>
    </row>
    <row r="54" ht="12">
      <c r="G54" s="189"/>
    </row>
    <row r="55" ht="12">
      <c r="G55" s="189"/>
    </row>
    <row r="56" ht="12">
      <c r="G56" s="189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</cols>
  <sheetData>
    <row r="1" spans="2:4" ht="12">
      <c r="B1" t="s">
        <v>101</v>
      </c>
      <c r="C1" s="3"/>
      <c r="D1" s="3"/>
    </row>
    <row r="2" spans="2:11" ht="12">
      <c r="B2" s="2" t="s">
        <v>110</v>
      </c>
      <c r="C2" s="18"/>
      <c r="D2" s="19"/>
      <c r="E2" s="11"/>
      <c r="F2" s="20"/>
      <c r="G2" s="21"/>
      <c r="H2" s="22"/>
      <c r="I2" s="23"/>
      <c r="J2" s="25"/>
      <c r="K2" s="49"/>
    </row>
    <row r="3" ht="12">
      <c r="B3" t="s">
        <v>143</v>
      </c>
    </row>
    <row r="5" spans="2:5" ht="12">
      <c r="B5" s="3"/>
      <c r="C5" s="3"/>
      <c r="D5" t="s">
        <v>199</v>
      </c>
      <c r="E5" s="3"/>
    </row>
    <row r="6" spans="2:5" ht="27.75" customHeight="1">
      <c r="B6" s="26" t="s">
        <v>112</v>
      </c>
      <c r="C6" s="29" t="s">
        <v>5</v>
      </c>
      <c r="D6" s="34"/>
      <c r="E6" s="32" t="s">
        <v>3</v>
      </c>
    </row>
    <row r="7" spans="2:8" ht="12">
      <c r="B7" s="27"/>
      <c r="C7" s="30"/>
      <c r="D7" s="12" t="s">
        <v>224</v>
      </c>
      <c r="E7" s="78">
        <v>400</v>
      </c>
      <c r="G7" s="60" t="s">
        <v>123</v>
      </c>
      <c r="H7" s="91">
        <v>90</v>
      </c>
    </row>
    <row r="8" spans="2:10" ht="12.75">
      <c r="B8" s="27"/>
      <c r="C8" s="30"/>
      <c r="D8" s="12" t="s">
        <v>225</v>
      </c>
      <c r="E8" s="78">
        <v>50</v>
      </c>
      <c r="G8" s="25" t="s">
        <v>119</v>
      </c>
      <c r="H8" s="25" t="s">
        <v>120</v>
      </c>
      <c r="I8" s="43" t="s">
        <v>121</v>
      </c>
      <c r="J8" s="44" t="s">
        <v>122</v>
      </c>
    </row>
    <row r="9" spans="2:10" ht="12">
      <c r="B9" s="27"/>
      <c r="C9" s="30"/>
      <c r="D9" s="40" t="s">
        <v>115</v>
      </c>
      <c r="E9" s="79">
        <f>AVERAGE(E13:E118)</f>
        <v>392.9173897756462</v>
      </c>
      <c r="G9" s="81">
        <f>E9-TINV(1-H7/100,E11-1)*E10/SQRT(E11)</f>
        <v>384.90972721324357</v>
      </c>
      <c r="H9" s="81">
        <f>E9+TINV(1-H7/100,E11-1)*E10/SQRT(E11)</f>
        <v>400.92505233804883</v>
      </c>
      <c r="I9" s="81">
        <f>(H9-G9)/2</f>
        <v>8.00766256240263</v>
      </c>
      <c r="J9" s="82"/>
    </row>
    <row r="10" spans="2:10" ht="12">
      <c r="B10" s="27"/>
      <c r="C10" s="30"/>
      <c r="D10" s="40" t="s">
        <v>116</v>
      </c>
      <c r="E10" s="79">
        <f>STDEV(E13:E118)</f>
        <v>49.68012135536963</v>
      </c>
      <c r="G10" s="83">
        <f>SQRT((E11-1)*E10^2/CHIINV((100-H7)/100/2,E11-1))</f>
        <v>44.66246708705116</v>
      </c>
      <c r="H10" s="83">
        <f>SQRT((E11-1)*E10^2/CHIINV(1-(100-H7)/100/2,E11-1))</f>
        <v>56.09648226858144</v>
      </c>
      <c r="I10" s="82"/>
      <c r="J10" s="84">
        <f>SQRT(H10/G10)</f>
        <v>1.1207182895964733</v>
      </c>
    </row>
    <row r="11" spans="2:5" ht="12">
      <c r="B11" s="27"/>
      <c r="C11" s="30"/>
      <c r="D11" s="40" t="s">
        <v>118</v>
      </c>
      <c r="E11" s="80">
        <f>COUNT(E13:E118)</f>
        <v>106</v>
      </c>
    </row>
    <row r="12" spans="2:17" ht="12">
      <c r="B12" s="27"/>
      <c r="C12" s="30"/>
      <c r="D12" s="38"/>
      <c r="E12" s="39"/>
      <c r="G12" s="50"/>
      <c r="H12" s="51"/>
      <c r="I12" s="51" t="s">
        <v>128</v>
      </c>
      <c r="J12" s="51"/>
      <c r="K12" s="51"/>
      <c r="L12" s="51"/>
      <c r="M12" s="51"/>
      <c r="N12" s="51"/>
      <c r="O12" s="51"/>
      <c r="P12" s="51"/>
      <c r="Q12" s="52"/>
    </row>
    <row r="13" spans="2:17" ht="12">
      <c r="B13" s="28">
        <f aca="true" ca="1" t="shared" si="0" ref="B13:B76">RAND()</f>
        <v>0.28187970550755526</v>
      </c>
      <c r="C13" s="31">
        <f aca="true" t="shared" si="1" ref="C13:C76">NORMSINV(B13)</f>
        <v>-0.5772665433361361</v>
      </c>
      <c r="D13" s="35" t="s">
        <v>22</v>
      </c>
      <c r="E13" s="36">
        <f>$E$7+$E$8*C13</f>
        <v>371.1366728331932</v>
      </c>
      <c r="G13" s="53"/>
      <c r="H13" s="54"/>
      <c r="I13" s="54" t="s">
        <v>102</v>
      </c>
      <c r="J13" s="54"/>
      <c r="K13" s="54"/>
      <c r="L13" s="54"/>
      <c r="M13" s="54"/>
      <c r="N13" s="54"/>
      <c r="O13" s="54"/>
      <c r="P13" s="54"/>
      <c r="Q13" s="55"/>
    </row>
    <row r="14" spans="2:17" ht="12.75">
      <c r="B14" s="28">
        <f ca="1" t="shared" si="0"/>
        <v>0.024002732124513315</v>
      </c>
      <c r="C14" s="31">
        <f t="shared" si="1"/>
        <v>-1.977320054148365</v>
      </c>
      <c r="D14" s="35" t="s">
        <v>68</v>
      </c>
      <c r="E14" s="36">
        <f aca="true" t="shared" si="2" ref="E14:E77">$E$7+$E$8*C14</f>
        <v>301.13399729258174</v>
      </c>
      <c r="G14" s="53"/>
      <c r="H14" s="54"/>
      <c r="I14" s="97" t="s">
        <v>129</v>
      </c>
      <c r="J14" s="54"/>
      <c r="K14" s="54"/>
      <c r="L14" s="54"/>
      <c r="M14" s="54"/>
      <c r="N14" s="54"/>
      <c r="O14" s="54"/>
      <c r="P14" s="54"/>
      <c r="Q14" s="55"/>
    </row>
    <row r="15" spans="2:17" ht="12.75" thickBot="1">
      <c r="B15" s="28">
        <f ca="1" t="shared" si="0"/>
        <v>0.21140593552928022</v>
      </c>
      <c r="C15" s="31">
        <f t="shared" si="1"/>
        <v>-0.8015524871279622</v>
      </c>
      <c r="D15" s="35" t="s">
        <v>69</v>
      </c>
      <c r="E15" s="36">
        <f t="shared" si="2"/>
        <v>359.92237564360187</v>
      </c>
      <c r="G15" s="53"/>
      <c r="H15" s="54"/>
      <c r="I15" s="54"/>
      <c r="J15" s="54"/>
      <c r="K15" s="54"/>
      <c r="L15" s="54"/>
      <c r="M15" s="54"/>
      <c r="N15" s="54"/>
      <c r="O15" s="54"/>
      <c r="P15" s="54"/>
      <c r="Q15" s="55"/>
    </row>
    <row r="16" spans="2:17" ht="12">
      <c r="B16" s="28">
        <f ca="1" t="shared" si="0"/>
        <v>0.8289852880543742</v>
      </c>
      <c r="C16" s="31">
        <f t="shared" si="1"/>
        <v>0.9501630233956816</v>
      </c>
      <c r="D16" s="35" t="s">
        <v>23</v>
      </c>
      <c r="E16" s="36">
        <f t="shared" si="2"/>
        <v>447.50815116978407</v>
      </c>
      <c r="G16" s="59" t="s">
        <v>127</v>
      </c>
      <c r="H16" s="54"/>
      <c r="I16" s="47" t="s">
        <v>124</v>
      </c>
      <c r="J16" s="47" t="s">
        <v>126</v>
      </c>
      <c r="K16" s="54"/>
      <c r="L16" s="54"/>
      <c r="M16" s="54"/>
      <c r="N16" s="54"/>
      <c r="O16" s="54"/>
      <c r="P16" s="54"/>
      <c r="Q16" s="55"/>
    </row>
    <row r="17" spans="2:17" ht="12">
      <c r="B17" s="28">
        <f ca="1" t="shared" si="0"/>
        <v>0.33596760449581975</v>
      </c>
      <c r="C17" s="31">
        <f t="shared" si="1"/>
        <v>-0.4234935424759675</v>
      </c>
      <c r="D17" s="35" t="s">
        <v>24</v>
      </c>
      <c r="E17" s="36">
        <f t="shared" si="2"/>
        <v>378.82532287620165</v>
      </c>
      <c r="G17" s="59">
        <f>E7-2*E8-0.25*E8</f>
        <v>287.5</v>
      </c>
      <c r="H17" s="54"/>
      <c r="I17" s="48">
        <v>287.5</v>
      </c>
      <c r="J17" s="45">
        <v>0</v>
      </c>
      <c r="K17" s="54"/>
      <c r="L17" s="54"/>
      <c r="M17" s="54"/>
      <c r="N17" s="54"/>
      <c r="O17" s="54"/>
      <c r="P17" s="54"/>
      <c r="Q17" s="55"/>
    </row>
    <row r="18" spans="2:17" ht="12">
      <c r="B18" s="28">
        <f ca="1" t="shared" si="0"/>
        <v>0.7601453352588114</v>
      </c>
      <c r="C18" s="31">
        <f t="shared" si="1"/>
        <v>0.7067701466248165</v>
      </c>
      <c r="D18" s="35" t="s">
        <v>70</v>
      </c>
      <c r="E18" s="36">
        <f t="shared" si="2"/>
        <v>435.3385073312408</v>
      </c>
      <c r="G18" s="59">
        <f>G17+0.5*$E$8</f>
        <v>312.5</v>
      </c>
      <c r="H18" s="54"/>
      <c r="I18" s="48">
        <v>312.5</v>
      </c>
      <c r="J18" s="45">
        <v>2</v>
      </c>
      <c r="K18" s="54"/>
      <c r="L18" s="54"/>
      <c r="M18" s="54"/>
      <c r="N18" s="54"/>
      <c r="O18" s="54"/>
      <c r="P18" s="54"/>
      <c r="Q18" s="55"/>
    </row>
    <row r="19" spans="2:17" ht="12">
      <c r="B19" s="28">
        <f ca="1" t="shared" si="0"/>
        <v>0.657374611773282</v>
      </c>
      <c r="C19" s="31">
        <f t="shared" si="1"/>
        <v>0.4053084766118931</v>
      </c>
      <c r="D19" s="35" t="s">
        <v>71</v>
      </c>
      <c r="E19" s="36">
        <f t="shared" si="2"/>
        <v>420.26542383059467</v>
      </c>
      <c r="G19" s="59">
        <f aca="true" t="shared" si="3" ref="G19:G26">G18+0.5*$E$8</f>
        <v>337.5</v>
      </c>
      <c r="H19" s="54"/>
      <c r="I19" s="48">
        <v>337.5</v>
      </c>
      <c r="J19" s="45">
        <v>7</v>
      </c>
      <c r="K19" s="54"/>
      <c r="L19" s="54"/>
      <c r="M19" s="54"/>
      <c r="N19" s="54"/>
      <c r="O19" s="54"/>
      <c r="P19" s="54"/>
      <c r="Q19" s="55"/>
    </row>
    <row r="20" spans="2:17" ht="12">
      <c r="B20" s="28">
        <f ca="1" t="shared" si="0"/>
        <v>0.05862107790858062</v>
      </c>
      <c r="C20" s="31">
        <f t="shared" si="1"/>
        <v>-1.5664549135769392</v>
      </c>
      <c r="D20" s="35" t="s">
        <v>72</v>
      </c>
      <c r="E20" s="36">
        <f t="shared" si="2"/>
        <v>321.67725432115304</v>
      </c>
      <c r="G20" s="59">
        <f t="shared" si="3"/>
        <v>362.5</v>
      </c>
      <c r="H20" s="54"/>
      <c r="I20" s="48">
        <v>362.5</v>
      </c>
      <c r="J20" s="45">
        <v>17</v>
      </c>
      <c r="K20" s="54"/>
      <c r="L20" s="54"/>
      <c r="M20" s="54"/>
      <c r="N20" s="54"/>
      <c r="O20" s="54"/>
      <c r="P20" s="54"/>
      <c r="Q20" s="55"/>
    </row>
    <row r="21" spans="2:17" ht="12">
      <c r="B21" s="28">
        <f ca="1" t="shared" si="0"/>
        <v>0.21229763369614607</v>
      </c>
      <c r="C21" s="31">
        <f t="shared" si="1"/>
        <v>-0.7984743584752888</v>
      </c>
      <c r="D21" s="35" t="s">
        <v>73</v>
      </c>
      <c r="E21" s="36">
        <f t="shared" si="2"/>
        <v>360.07628207623554</v>
      </c>
      <c r="G21" s="59">
        <f t="shared" si="3"/>
        <v>387.5</v>
      </c>
      <c r="H21" s="54"/>
      <c r="I21" s="48">
        <v>387.5</v>
      </c>
      <c r="J21" s="45">
        <v>20</v>
      </c>
      <c r="K21" s="54"/>
      <c r="L21" s="54"/>
      <c r="M21" s="54"/>
      <c r="N21" s="54"/>
      <c r="O21" s="54"/>
      <c r="P21" s="54"/>
      <c r="Q21" s="55"/>
    </row>
    <row r="22" spans="2:17" ht="12">
      <c r="B22" s="28">
        <f ca="1" t="shared" si="0"/>
        <v>0.9728774738750716</v>
      </c>
      <c r="C22" s="31">
        <f t="shared" si="1"/>
        <v>1.9248745682211075</v>
      </c>
      <c r="D22" s="35" t="s">
        <v>74</v>
      </c>
      <c r="E22" s="36">
        <f t="shared" si="2"/>
        <v>496.2437284110554</v>
      </c>
      <c r="G22" s="59">
        <f t="shared" si="3"/>
        <v>412.5</v>
      </c>
      <c r="H22" s="54"/>
      <c r="I22" s="48">
        <v>412.5</v>
      </c>
      <c r="J22" s="45">
        <v>18</v>
      </c>
      <c r="K22" s="54"/>
      <c r="L22" s="54"/>
      <c r="M22" s="54"/>
      <c r="N22" s="54"/>
      <c r="O22" s="54"/>
      <c r="P22" s="54"/>
      <c r="Q22" s="55"/>
    </row>
    <row r="23" spans="2:17" ht="12">
      <c r="B23" s="28">
        <f ca="1" t="shared" si="0"/>
        <v>0.190391237494823</v>
      </c>
      <c r="C23" s="31">
        <f t="shared" si="1"/>
        <v>-0.8764554686809183</v>
      </c>
      <c r="D23" s="35" t="s">
        <v>25</v>
      </c>
      <c r="E23" s="36">
        <f t="shared" si="2"/>
        <v>356.1772265659541</v>
      </c>
      <c r="G23" s="59">
        <f t="shared" si="3"/>
        <v>437.5</v>
      </c>
      <c r="H23" s="54"/>
      <c r="I23" s="48">
        <v>437.5</v>
      </c>
      <c r="J23" s="45">
        <v>18</v>
      </c>
      <c r="K23" s="54"/>
      <c r="L23" s="54"/>
      <c r="M23" s="54"/>
      <c r="N23" s="54"/>
      <c r="O23" s="54"/>
      <c r="P23" s="54"/>
      <c r="Q23" s="55"/>
    </row>
    <row r="24" spans="2:17" ht="12">
      <c r="B24" s="28">
        <f ca="1" t="shared" si="0"/>
        <v>0.9192967164889042</v>
      </c>
      <c r="C24" s="31">
        <f t="shared" si="1"/>
        <v>1.400356574843475</v>
      </c>
      <c r="D24" s="35" t="s">
        <v>75</v>
      </c>
      <c r="E24" s="36">
        <f t="shared" si="2"/>
        <v>470.0178287421737</v>
      </c>
      <c r="G24" s="59">
        <f t="shared" si="3"/>
        <v>462.5</v>
      </c>
      <c r="H24" s="54"/>
      <c r="I24" s="48">
        <v>462.5</v>
      </c>
      <c r="J24" s="45">
        <v>15</v>
      </c>
      <c r="K24" s="54"/>
      <c r="L24" s="54"/>
      <c r="M24" s="54"/>
      <c r="N24" s="54"/>
      <c r="O24" s="54"/>
      <c r="P24" s="54"/>
      <c r="Q24" s="55"/>
    </row>
    <row r="25" spans="2:17" ht="12">
      <c r="B25" s="28">
        <f ca="1" t="shared" si="0"/>
        <v>0.8878188868286924</v>
      </c>
      <c r="C25" s="31">
        <f t="shared" si="1"/>
        <v>1.2150101338554904</v>
      </c>
      <c r="D25" s="35" t="s">
        <v>76</v>
      </c>
      <c r="E25" s="36">
        <f t="shared" si="2"/>
        <v>460.75050669277454</v>
      </c>
      <c r="G25" s="59">
        <f t="shared" si="3"/>
        <v>487.5</v>
      </c>
      <c r="H25" s="54"/>
      <c r="I25" s="48">
        <v>487.5</v>
      </c>
      <c r="J25" s="45">
        <v>3</v>
      </c>
      <c r="K25" s="54"/>
      <c r="L25" s="54"/>
      <c r="M25" s="54"/>
      <c r="N25" s="54"/>
      <c r="O25" s="54"/>
      <c r="P25" s="54"/>
      <c r="Q25" s="55"/>
    </row>
    <row r="26" spans="2:17" ht="12">
      <c r="B26" s="28">
        <f ca="1" t="shared" si="0"/>
        <v>0.7828705171480485</v>
      </c>
      <c r="C26" s="31">
        <f t="shared" si="1"/>
        <v>0.7819244657916198</v>
      </c>
      <c r="D26" s="35" t="s">
        <v>26</v>
      </c>
      <c r="E26" s="36">
        <f t="shared" si="2"/>
        <v>439.09622328958096</v>
      </c>
      <c r="G26" s="59">
        <f t="shared" si="3"/>
        <v>512.5</v>
      </c>
      <c r="H26" s="54"/>
      <c r="I26" s="48">
        <v>512.5</v>
      </c>
      <c r="J26" s="45">
        <v>4</v>
      </c>
      <c r="K26" s="54"/>
      <c r="L26" s="54"/>
      <c r="M26" s="54"/>
      <c r="N26" s="54"/>
      <c r="O26" s="54"/>
      <c r="P26" s="54"/>
      <c r="Q26" s="55"/>
    </row>
    <row r="27" spans="2:17" ht="12">
      <c r="B27" s="28">
        <f ca="1" t="shared" si="0"/>
        <v>0.7075283395642347</v>
      </c>
      <c r="C27" s="31">
        <f t="shared" si="1"/>
        <v>0.5461783875319695</v>
      </c>
      <c r="D27" s="35" t="s">
        <v>77</v>
      </c>
      <c r="E27" s="36">
        <f t="shared" si="2"/>
        <v>427.30891937659845</v>
      </c>
      <c r="G27" s="59">
        <f>G26+0.5*$E$8</f>
        <v>537.5</v>
      </c>
      <c r="H27" s="54"/>
      <c r="I27" s="48">
        <v>537.5</v>
      </c>
      <c r="J27" s="45">
        <v>1</v>
      </c>
      <c r="K27" s="54"/>
      <c r="L27" s="54"/>
      <c r="M27" s="54"/>
      <c r="N27" s="54"/>
      <c r="O27" s="54"/>
      <c r="P27" s="54"/>
      <c r="Q27" s="55"/>
    </row>
    <row r="28" spans="2:17" ht="12.75" thickBot="1">
      <c r="B28" s="28">
        <f ca="1" t="shared" si="0"/>
        <v>0.2410979566039695</v>
      </c>
      <c r="C28" s="31">
        <f t="shared" si="1"/>
        <v>-0.7027751062500526</v>
      </c>
      <c r="D28" s="35" t="s">
        <v>27</v>
      </c>
      <c r="E28" s="36">
        <f t="shared" si="2"/>
        <v>364.8612446874974</v>
      </c>
      <c r="G28" s="53"/>
      <c r="H28" s="54"/>
      <c r="I28" s="46" t="s">
        <v>125</v>
      </c>
      <c r="J28" s="46">
        <v>1</v>
      </c>
      <c r="K28" s="54"/>
      <c r="L28" s="54"/>
      <c r="M28" s="54"/>
      <c r="N28" s="54"/>
      <c r="O28" s="54"/>
      <c r="P28" s="54"/>
      <c r="Q28" s="55"/>
    </row>
    <row r="29" spans="2:17" ht="12">
      <c r="B29" s="28">
        <f ca="1" t="shared" si="0"/>
        <v>0.03539753157448633</v>
      </c>
      <c r="C29" s="31">
        <f t="shared" si="1"/>
        <v>-1.806789777829549</v>
      </c>
      <c r="D29" s="35" t="s">
        <v>78</v>
      </c>
      <c r="E29" s="36">
        <f t="shared" si="2"/>
        <v>309.66051110852254</v>
      </c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5"/>
    </row>
    <row r="30" spans="2:17" ht="12">
      <c r="B30" s="28">
        <f ca="1" t="shared" si="0"/>
        <v>0.1945490150379533</v>
      </c>
      <c r="C30" s="31">
        <f t="shared" si="1"/>
        <v>-0.8612542445274433</v>
      </c>
      <c r="D30" s="35" t="s">
        <v>28</v>
      </c>
      <c r="E30" s="36">
        <f t="shared" si="2"/>
        <v>356.9372877736278</v>
      </c>
      <c r="G30" s="53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2:17" ht="12">
      <c r="B31" s="28">
        <f ca="1" t="shared" si="0"/>
        <v>0.9177018046796097</v>
      </c>
      <c r="C31" s="31">
        <f t="shared" si="1"/>
        <v>1.3897777036812866</v>
      </c>
      <c r="D31" s="35" t="s">
        <v>29</v>
      </c>
      <c r="E31" s="36">
        <f t="shared" si="2"/>
        <v>469.4888851840643</v>
      </c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2:17" ht="12">
      <c r="B32" s="28">
        <f ca="1" t="shared" si="0"/>
        <v>0.18032877752913545</v>
      </c>
      <c r="C32" s="31">
        <f t="shared" si="1"/>
        <v>-0.9141128424290407</v>
      </c>
      <c r="D32" s="35" t="s">
        <v>79</v>
      </c>
      <c r="E32" s="36">
        <f t="shared" si="2"/>
        <v>354.29435787854794</v>
      </c>
      <c r="G32" s="53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2:17" ht="12">
      <c r="B33" s="28">
        <f ca="1" t="shared" si="0"/>
        <v>0.5156080356322215</v>
      </c>
      <c r="C33" s="31">
        <f t="shared" si="1"/>
        <v>0.039133529530400654</v>
      </c>
      <c r="D33" s="35" t="s">
        <v>80</v>
      </c>
      <c r="E33" s="36">
        <f t="shared" si="2"/>
        <v>401.95667647652004</v>
      </c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5"/>
    </row>
    <row r="34" spans="2:17" ht="12">
      <c r="B34" s="28">
        <f ca="1" t="shared" si="0"/>
        <v>0.2981135820427171</v>
      </c>
      <c r="C34" s="31">
        <f t="shared" si="1"/>
        <v>-0.5298338059557376</v>
      </c>
      <c r="D34" s="35" t="s">
        <v>30</v>
      </c>
      <c r="E34" s="36">
        <f t="shared" si="2"/>
        <v>373.5083097022131</v>
      </c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8"/>
    </row>
    <row r="35" spans="2:5" ht="12">
      <c r="B35" s="28">
        <f ca="1" t="shared" si="0"/>
        <v>0.743989838978615</v>
      </c>
      <c r="C35" s="31">
        <f t="shared" si="1"/>
        <v>0.6556951003179456</v>
      </c>
      <c r="D35" s="35" t="s">
        <v>81</v>
      </c>
      <c r="E35" s="36">
        <f t="shared" si="2"/>
        <v>432.7847550158973</v>
      </c>
    </row>
    <row r="36" spans="2:5" ht="12">
      <c r="B36" s="28">
        <f ca="1" t="shared" si="0"/>
        <v>0.3539755741245285</v>
      </c>
      <c r="C36" s="31">
        <f t="shared" si="1"/>
        <v>-0.37460917531294186</v>
      </c>
      <c r="D36" s="35" t="s">
        <v>31</v>
      </c>
      <c r="E36" s="36">
        <f t="shared" si="2"/>
        <v>381.2695412343529</v>
      </c>
    </row>
    <row r="37" spans="2:5" ht="12">
      <c r="B37" s="28">
        <f ca="1" t="shared" si="0"/>
        <v>0.5148585795661769</v>
      </c>
      <c r="C37" s="31">
        <f t="shared" si="1"/>
        <v>0.03725355078213343</v>
      </c>
      <c r="D37" s="35" t="s">
        <v>32</v>
      </c>
      <c r="E37" s="36">
        <f t="shared" si="2"/>
        <v>401.8626775391067</v>
      </c>
    </row>
    <row r="38" spans="2:5" ht="12">
      <c r="B38" s="28">
        <f ca="1" t="shared" si="0"/>
        <v>0.4533877238923002</v>
      </c>
      <c r="C38" s="31">
        <f t="shared" si="1"/>
        <v>-0.11710676644678118</v>
      </c>
      <c r="D38" s="35" t="s">
        <v>33</v>
      </c>
      <c r="E38" s="36">
        <f t="shared" si="2"/>
        <v>394.14466167766096</v>
      </c>
    </row>
    <row r="39" spans="2:5" ht="12">
      <c r="B39" s="28">
        <f ca="1" t="shared" si="0"/>
        <v>0.5581133289474656</v>
      </c>
      <c r="C39" s="31">
        <f t="shared" si="1"/>
        <v>0.14618753926956668</v>
      </c>
      <c r="D39" s="35" t="s">
        <v>82</v>
      </c>
      <c r="E39" s="36">
        <f t="shared" si="2"/>
        <v>407.3093769634783</v>
      </c>
    </row>
    <row r="40" spans="2:5" ht="12">
      <c r="B40" s="28">
        <f ca="1" t="shared" si="0"/>
        <v>0.5625722824839282</v>
      </c>
      <c r="C40" s="31">
        <f t="shared" si="1"/>
        <v>0.15749412836803264</v>
      </c>
      <c r="D40" s="35" t="s">
        <v>34</v>
      </c>
      <c r="E40" s="36">
        <f t="shared" si="2"/>
        <v>407.8747064184016</v>
      </c>
    </row>
    <row r="41" spans="2:5" ht="12">
      <c r="B41" s="28">
        <f ca="1" t="shared" si="0"/>
        <v>0.3623121303266905</v>
      </c>
      <c r="C41" s="31">
        <f t="shared" si="1"/>
        <v>-0.35228536758420165</v>
      </c>
      <c r="D41" s="35" t="s">
        <v>83</v>
      </c>
      <c r="E41" s="36">
        <f t="shared" si="2"/>
        <v>382.3857316207899</v>
      </c>
    </row>
    <row r="42" spans="2:5" ht="12">
      <c r="B42" s="28">
        <f ca="1" t="shared" si="0"/>
        <v>0.22965217611723965</v>
      </c>
      <c r="C42" s="31">
        <f t="shared" si="1"/>
        <v>-0.7399928179841031</v>
      </c>
      <c r="D42" s="35" t="s">
        <v>84</v>
      </c>
      <c r="E42" s="36">
        <f t="shared" si="2"/>
        <v>363.00035910079487</v>
      </c>
    </row>
    <row r="43" spans="2:5" ht="12">
      <c r="B43" s="28">
        <f ca="1" t="shared" si="0"/>
        <v>0.5607961914101149</v>
      </c>
      <c r="C43" s="31">
        <f t="shared" si="1"/>
        <v>0.15298815384353553</v>
      </c>
      <c r="D43" s="35" t="s">
        <v>85</v>
      </c>
      <c r="E43" s="36">
        <f t="shared" si="2"/>
        <v>407.6494076921768</v>
      </c>
    </row>
    <row r="44" spans="2:5" ht="12">
      <c r="B44" s="28">
        <f ca="1" t="shared" si="0"/>
        <v>0.17269750691049324</v>
      </c>
      <c r="C44" s="31">
        <f t="shared" si="1"/>
        <v>-0.9435590749135521</v>
      </c>
      <c r="D44" s="35" t="s">
        <v>36</v>
      </c>
      <c r="E44" s="36">
        <f t="shared" si="2"/>
        <v>352.8220462543224</v>
      </c>
    </row>
    <row r="45" spans="2:5" ht="12">
      <c r="B45" s="28">
        <f ca="1" t="shared" si="0"/>
        <v>0.7028167659312949</v>
      </c>
      <c r="C45" s="31">
        <f t="shared" si="1"/>
        <v>0.5325191702126887</v>
      </c>
      <c r="D45" s="35" t="s">
        <v>86</v>
      </c>
      <c r="E45" s="36">
        <f t="shared" si="2"/>
        <v>426.6259585106344</v>
      </c>
    </row>
    <row r="46" spans="2:5" ht="12">
      <c r="B46" s="28">
        <f ca="1" t="shared" si="0"/>
        <v>0.16809445462886796</v>
      </c>
      <c r="C46" s="31">
        <f t="shared" si="1"/>
        <v>-0.9617227143852318</v>
      </c>
      <c r="D46" s="35" t="s">
        <v>37</v>
      </c>
      <c r="E46" s="36">
        <f t="shared" si="2"/>
        <v>351.9138642807384</v>
      </c>
    </row>
    <row r="47" spans="2:5" ht="12">
      <c r="B47" s="28">
        <f ca="1" t="shared" si="0"/>
        <v>0.30990770361005215</v>
      </c>
      <c r="C47" s="31">
        <f t="shared" si="1"/>
        <v>-0.49611198020693975</v>
      </c>
      <c r="D47" s="35" t="s">
        <v>87</v>
      </c>
      <c r="E47" s="36">
        <f t="shared" si="2"/>
        <v>375.194400989653</v>
      </c>
    </row>
    <row r="48" spans="2:5" ht="12">
      <c r="B48" s="28">
        <f ca="1" t="shared" si="0"/>
        <v>0.7802760743010213</v>
      </c>
      <c r="C48" s="31">
        <f t="shared" si="1"/>
        <v>0.7731259388017888</v>
      </c>
      <c r="D48" s="35" t="s">
        <v>38</v>
      </c>
      <c r="E48" s="36">
        <f t="shared" si="2"/>
        <v>438.6562969400894</v>
      </c>
    </row>
    <row r="49" spans="2:5" ht="12">
      <c r="B49" s="28">
        <f ca="1" t="shared" si="0"/>
        <v>0.6492655577472832</v>
      </c>
      <c r="C49" s="31">
        <f t="shared" si="1"/>
        <v>0.3833383814132675</v>
      </c>
      <c r="D49" s="35" t="s">
        <v>42</v>
      </c>
      <c r="E49" s="36">
        <f t="shared" si="2"/>
        <v>419.16691907066337</v>
      </c>
    </row>
    <row r="50" spans="2:5" ht="12">
      <c r="B50" s="28">
        <f ca="1" t="shared" si="0"/>
        <v>0.07301465915849159</v>
      </c>
      <c r="C50" s="31">
        <f t="shared" si="1"/>
        <v>-1.4537006485225057</v>
      </c>
      <c r="D50" s="35" t="s">
        <v>39</v>
      </c>
      <c r="E50" s="36">
        <f t="shared" si="2"/>
        <v>327.3149675738747</v>
      </c>
    </row>
    <row r="51" spans="2:5" ht="12">
      <c r="B51" s="28">
        <f ca="1" t="shared" si="0"/>
        <v>0.3754609252972275</v>
      </c>
      <c r="C51" s="31">
        <f t="shared" si="1"/>
        <v>-0.31742406345405594</v>
      </c>
      <c r="D51" s="35" t="s">
        <v>45</v>
      </c>
      <c r="E51" s="36">
        <f t="shared" si="2"/>
        <v>384.1287968272972</v>
      </c>
    </row>
    <row r="52" spans="2:5" ht="12">
      <c r="B52" s="28">
        <f ca="1" t="shared" si="0"/>
        <v>0.9972157797997626</v>
      </c>
      <c r="C52" s="31">
        <f t="shared" si="1"/>
        <v>2.772167331087903</v>
      </c>
      <c r="D52" s="35" t="s">
        <v>88</v>
      </c>
      <c r="E52" s="36">
        <f t="shared" si="2"/>
        <v>538.6083665543952</v>
      </c>
    </row>
    <row r="53" spans="2:5" ht="12">
      <c r="B53" s="28">
        <f ca="1" t="shared" si="0"/>
        <v>0.16704513557326273</v>
      </c>
      <c r="C53" s="31">
        <f t="shared" si="1"/>
        <v>-0.9659078955472857</v>
      </c>
      <c r="D53" s="35" t="s">
        <v>40</v>
      </c>
      <c r="E53" s="36">
        <f t="shared" si="2"/>
        <v>351.70460522263573</v>
      </c>
    </row>
    <row r="54" spans="2:5" ht="12">
      <c r="B54" s="28">
        <f ca="1" t="shared" si="0"/>
        <v>0.0032463753086170444</v>
      </c>
      <c r="C54" s="31">
        <f t="shared" si="1"/>
        <v>-2.7217995790825493</v>
      </c>
      <c r="D54" s="35" t="s">
        <v>46</v>
      </c>
      <c r="E54" s="36">
        <f t="shared" si="2"/>
        <v>263.91002104587255</v>
      </c>
    </row>
    <row r="55" spans="2:5" ht="12">
      <c r="B55" s="28">
        <f ca="1" t="shared" si="0"/>
        <v>0.7727797439027042</v>
      </c>
      <c r="C55" s="31">
        <f t="shared" si="1"/>
        <v>0.7480325701459792</v>
      </c>
      <c r="D55" s="35" t="s">
        <v>47</v>
      </c>
      <c r="E55" s="36">
        <f t="shared" si="2"/>
        <v>437.40162850729894</v>
      </c>
    </row>
    <row r="56" spans="2:5" ht="12">
      <c r="B56" s="28">
        <f ca="1" t="shared" si="0"/>
        <v>0.4311129523418912</v>
      </c>
      <c r="C56" s="31">
        <f t="shared" si="1"/>
        <v>-0.17354138008231845</v>
      </c>
      <c r="D56" s="35" t="s">
        <v>48</v>
      </c>
      <c r="E56" s="36">
        <f t="shared" si="2"/>
        <v>391.32293099588406</v>
      </c>
    </row>
    <row r="57" spans="2:5" ht="12">
      <c r="B57" s="28">
        <f ca="1" t="shared" si="0"/>
        <v>0.6817127879628883</v>
      </c>
      <c r="C57" s="31">
        <f t="shared" si="1"/>
        <v>0.47249371878936847</v>
      </c>
      <c r="D57" s="35" t="s">
        <v>49</v>
      </c>
      <c r="E57" s="36">
        <f t="shared" si="2"/>
        <v>423.6246859394684</v>
      </c>
    </row>
    <row r="58" spans="2:5" ht="12">
      <c r="B58" s="28">
        <f ca="1" t="shared" si="0"/>
        <v>0.25805571820948603</v>
      </c>
      <c r="C58" s="31">
        <f t="shared" si="1"/>
        <v>-0.6493511419371063</v>
      </c>
      <c r="D58" s="35" t="s">
        <v>50</v>
      </c>
      <c r="E58" s="36">
        <f t="shared" si="2"/>
        <v>367.53244290314467</v>
      </c>
    </row>
    <row r="59" spans="2:5" ht="12">
      <c r="B59" s="28">
        <f ca="1" t="shared" si="0"/>
        <v>0.017101573583277574</v>
      </c>
      <c r="C59" s="31">
        <f t="shared" si="1"/>
        <v>-2.1176685617623967</v>
      </c>
      <c r="D59" s="35" t="s">
        <v>89</v>
      </c>
      <c r="E59" s="36">
        <f t="shared" si="2"/>
        <v>294.11657191188016</v>
      </c>
    </row>
    <row r="60" spans="2:5" ht="12">
      <c r="B60" s="28">
        <f ca="1" t="shared" si="0"/>
        <v>0.41777186488087426</v>
      </c>
      <c r="C60" s="31">
        <f t="shared" si="1"/>
        <v>-0.20759689400142634</v>
      </c>
      <c r="D60" s="35" t="s">
        <v>51</v>
      </c>
      <c r="E60" s="36">
        <f t="shared" si="2"/>
        <v>389.6201552999287</v>
      </c>
    </row>
    <row r="61" spans="2:5" ht="12">
      <c r="B61" s="28">
        <f ca="1" t="shared" si="0"/>
        <v>0.029655023781558265</v>
      </c>
      <c r="C61" s="31">
        <f t="shared" si="1"/>
        <v>-1.8858880101230817</v>
      </c>
      <c r="D61" s="35" t="s">
        <v>52</v>
      </c>
      <c r="E61" s="36">
        <f t="shared" si="2"/>
        <v>305.7055994938459</v>
      </c>
    </row>
    <row r="62" spans="2:5" ht="12">
      <c r="B62" s="28">
        <f ca="1" t="shared" si="0"/>
        <v>0.3773327184055557</v>
      </c>
      <c r="C62" s="31">
        <f t="shared" si="1"/>
        <v>-0.3124935860043102</v>
      </c>
      <c r="D62" s="35" t="s">
        <v>90</v>
      </c>
      <c r="E62" s="36">
        <f t="shared" si="2"/>
        <v>384.3753206997845</v>
      </c>
    </row>
    <row r="63" spans="2:5" ht="12">
      <c r="B63" s="28">
        <f ca="1" t="shared" si="0"/>
        <v>0.8815222846433064</v>
      </c>
      <c r="C63" s="31">
        <f t="shared" si="1"/>
        <v>1.1826309756145283</v>
      </c>
      <c r="D63" s="35" t="s">
        <v>93</v>
      </c>
      <c r="E63" s="36">
        <f t="shared" si="2"/>
        <v>459.1315487807264</v>
      </c>
    </row>
    <row r="64" spans="2:5" ht="12">
      <c r="B64" s="28">
        <f ca="1" t="shared" si="0"/>
        <v>0.4907882235157871</v>
      </c>
      <c r="C64" s="31">
        <f t="shared" si="1"/>
        <v>-0.023092551642628932</v>
      </c>
      <c r="D64" s="35" t="s">
        <v>53</v>
      </c>
      <c r="E64" s="36">
        <f t="shared" si="2"/>
        <v>398.84537241786853</v>
      </c>
    </row>
    <row r="65" spans="2:5" ht="12">
      <c r="B65" s="28">
        <f ca="1" t="shared" si="0"/>
        <v>0.1804155069425245</v>
      </c>
      <c r="C65" s="31">
        <f t="shared" si="1"/>
        <v>-0.9137827469639763</v>
      </c>
      <c r="D65" s="35" t="s">
        <v>54</v>
      </c>
      <c r="E65" s="36">
        <f t="shared" si="2"/>
        <v>354.3108626518012</v>
      </c>
    </row>
    <row r="66" spans="2:5" ht="12">
      <c r="B66" s="28">
        <f ca="1" t="shared" si="0"/>
        <v>0.4791638032986346</v>
      </c>
      <c r="C66" s="31">
        <f t="shared" si="1"/>
        <v>-0.05225236757881402</v>
      </c>
      <c r="D66" s="35" t="s">
        <v>55</v>
      </c>
      <c r="E66" s="36">
        <f t="shared" si="2"/>
        <v>397.3873816210593</v>
      </c>
    </row>
    <row r="67" spans="2:5" ht="12">
      <c r="B67" s="28">
        <f ca="1" t="shared" si="0"/>
        <v>0.026461054754575608</v>
      </c>
      <c r="C67" s="31">
        <f t="shared" si="1"/>
        <v>-1.9355559528864505</v>
      </c>
      <c r="D67" s="35" t="s">
        <v>94</v>
      </c>
      <c r="E67" s="36">
        <f t="shared" si="2"/>
        <v>303.2222023556775</v>
      </c>
    </row>
    <row r="68" spans="2:5" ht="12">
      <c r="B68" s="28">
        <f ca="1" t="shared" si="0"/>
        <v>0.3385101979297864</v>
      </c>
      <c r="C68" s="31">
        <f t="shared" si="1"/>
        <v>-0.41653249292397637</v>
      </c>
      <c r="D68" s="35" t="s">
        <v>56</v>
      </c>
      <c r="E68" s="36">
        <f t="shared" si="2"/>
        <v>379.1733753538012</v>
      </c>
    </row>
    <row r="69" spans="2:5" ht="12">
      <c r="B69" s="28">
        <f ca="1" t="shared" si="0"/>
        <v>0.45919964793122203</v>
      </c>
      <c r="C69" s="31">
        <f t="shared" si="1"/>
        <v>-0.10245025487664526</v>
      </c>
      <c r="D69" s="35" t="s">
        <v>95</v>
      </c>
      <c r="E69" s="36">
        <f t="shared" si="2"/>
        <v>394.87748725616774</v>
      </c>
    </row>
    <row r="70" spans="2:5" ht="12">
      <c r="B70" s="28">
        <f ca="1" t="shared" si="0"/>
        <v>0.11809186657480442</v>
      </c>
      <c r="C70" s="31">
        <f t="shared" si="1"/>
        <v>-1.184579533252214</v>
      </c>
      <c r="D70" s="35" t="s">
        <v>96</v>
      </c>
      <c r="E70" s="36">
        <f t="shared" si="2"/>
        <v>340.7710233373893</v>
      </c>
    </row>
    <row r="71" spans="2:5" ht="12">
      <c r="B71" s="28">
        <f ca="1" t="shared" si="0"/>
        <v>0.9021768719030595</v>
      </c>
      <c r="C71" s="31">
        <f t="shared" si="1"/>
        <v>1.294055484894324</v>
      </c>
      <c r="D71" s="35" t="s">
        <v>57</v>
      </c>
      <c r="E71" s="36">
        <f t="shared" si="2"/>
        <v>464.7027742447162</v>
      </c>
    </row>
    <row r="72" spans="2:5" ht="12">
      <c r="B72" s="28">
        <f ca="1" t="shared" si="0"/>
        <v>0.2876470742663173</v>
      </c>
      <c r="C72" s="31">
        <f t="shared" si="1"/>
        <v>-0.5602716691844518</v>
      </c>
      <c r="D72" s="35" t="s">
        <v>58</v>
      </c>
      <c r="E72" s="36">
        <f t="shared" si="2"/>
        <v>371.9864165407774</v>
      </c>
    </row>
    <row r="73" spans="2:5" ht="12">
      <c r="B73" s="28">
        <f ca="1" t="shared" si="0"/>
        <v>0.18910820956729757</v>
      </c>
      <c r="C73" s="31">
        <f t="shared" si="1"/>
        <v>-0.8811873607534519</v>
      </c>
      <c r="D73" s="35" t="s">
        <v>97</v>
      </c>
      <c r="E73" s="36">
        <f t="shared" si="2"/>
        <v>355.9406319623274</v>
      </c>
    </row>
    <row r="74" spans="2:5" ht="12">
      <c r="B74" s="28">
        <f ca="1" t="shared" si="0"/>
        <v>0.22639092303081887</v>
      </c>
      <c r="C74" s="31">
        <f t="shared" si="1"/>
        <v>-0.7507853524074835</v>
      </c>
      <c r="D74" s="35" t="s">
        <v>59</v>
      </c>
      <c r="E74" s="36">
        <f t="shared" si="2"/>
        <v>362.4607323796258</v>
      </c>
    </row>
    <row r="75" spans="2:5" ht="12">
      <c r="B75" s="28">
        <f ca="1" t="shared" si="0"/>
        <v>0.6452834471856266</v>
      </c>
      <c r="C75" s="31">
        <f t="shared" si="1"/>
        <v>0.37261755459996415</v>
      </c>
      <c r="D75" s="35" t="s">
        <v>98</v>
      </c>
      <c r="E75" s="36">
        <f t="shared" si="2"/>
        <v>418.6308777299982</v>
      </c>
    </row>
    <row r="76" spans="2:5" ht="12">
      <c r="B76" s="28">
        <f ca="1" t="shared" si="0"/>
        <v>0.5879651555372662</v>
      </c>
      <c r="C76" s="31">
        <f t="shared" si="1"/>
        <v>0.22231369865978412</v>
      </c>
      <c r="D76" s="35" t="s">
        <v>99</v>
      </c>
      <c r="E76" s="36">
        <f t="shared" si="2"/>
        <v>411.1156849329892</v>
      </c>
    </row>
    <row r="77" spans="2:5" ht="12">
      <c r="B77" s="28">
        <f aca="true" ca="1" t="shared" si="4" ref="B77:B118">RAND()</f>
        <v>0.4904671075080548</v>
      </c>
      <c r="C77" s="31">
        <f aca="true" t="shared" si="5" ref="C77:C118">NORMSINV(B77)</f>
        <v>-0.023897692325295542</v>
      </c>
      <c r="D77" s="35" t="s">
        <v>60</v>
      </c>
      <c r="E77" s="36">
        <f t="shared" si="2"/>
        <v>398.8051153837352</v>
      </c>
    </row>
    <row r="78" spans="2:5" ht="12">
      <c r="B78" s="28">
        <f ca="1" t="shared" si="4"/>
        <v>0.5854180636068059</v>
      </c>
      <c r="C78" s="31">
        <f t="shared" si="5"/>
        <v>0.21577405532082952</v>
      </c>
      <c r="D78" s="35" t="s">
        <v>61</v>
      </c>
      <c r="E78" s="36">
        <f aca="true" t="shared" si="6" ref="E78:E118">$E$7+$E$8*C78</f>
        <v>410.78870276604147</v>
      </c>
    </row>
    <row r="79" spans="2:5" ht="12">
      <c r="B79" s="28">
        <f ca="1" t="shared" si="4"/>
        <v>0.7301898924195033</v>
      </c>
      <c r="C79" s="31">
        <f t="shared" si="5"/>
        <v>0.6133874002919221</v>
      </c>
      <c r="D79" s="35" t="s">
        <v>62</v>
      </c>
      <c r="E79" s="36">
        <f t="shared" si="6"/>
        <v>430.6693700145961</v>
      </c>
    </row>
    <row r="80" spans="2:5" ht="12">
      <c r="B80" s="28">
        <f ca="1" t="shared" si="4"/>
        <v>0.07247201194240349</v>
      </c>
      <c r="C80" s="31">
        <f t="shared" si="5"/>
        <v>-1.4576246771807237</v>
      </c>
      <c r="D80" s="35" t="s">
        <v>63</v>
      </c>
      <c r="E80" s="36">
        <f t="shared" si="6"/>
        <v>327.1187661409638</v>
      </c>
    </row>
    <row r="81" spans="2:5" ht="12">
      <c r="B81" s="28">
        <f ca="1" t="shared" si="4"/>
        <v>0.2315121584915496</v>
      </c>
      <c r="C81" s="31">
        <f t="shared" si="5"/>
        <v>-0.7338759975920086</v>
      </c>
      <c r="D81" s="35" t="s">
        <v>64</v>
      </c>
      <c r="E81" s="36">
        <f t="shared" si="6"/>
        <v>363.3062001203996</v>
      </c>
    </row>
    <row r="82" spans="2:5" ht="12">
      <c r="B82" s="28">
        <f ca="1" t="shared" si="4"/>
        <v>0.4548054199458976</v>
      </c>
      <c r="C82" s="31">
        <f t="shared" si="5"/>
        <v>-0.11352942022343092</v>
      </c>
      <c r="D82" s="35" t="s">
        <v>65</v>
      </c>
      <c r="E82" s="36">
        <f t="shared" si="6"/>
        <v>394.32352898882846</v>
      </c>
    </row>
    <row r="83" spans="2:5" ht="12">
      <c r="B83" s="28">
        <f ca="1" t="shared" si="4"/>
        <v>0.22570024008380574</v>
      </c>
      <c r="C83" s="31">
        <f t="shared" si="5"/>
        <v>-0.7530822663617808</v>
      </c>
      <c r="D83" s="35" t="s">
        <v>100</v>
      </c>
      <c r="E83" s="36">
        <f t="shared" si="6"/>
        <v>362.34588668191094</v>
      </c>
    </row>
    <row r="84" spans="2:5" ht="12">
      <c r="B84" s="28">
        <f ca="1" t="shared" si="4"/>
        <v>0.047372313171316516</v>
      </c>
      <c r="C84" s="31">
        <f t="shared" si="5"/>
        <v>-1.6708838283606893</v>
      </c>
      <c r="D84" s="1"/>
      <c r="E84" s="36">
        <f t="shared" si="6"/>
        <v>316.4558085819655</v>
      </c>
    </row>
    <row r="85" spans="2:5" ht="12">
      <c r="B85" s="28">
        <f ca="1" t="shared" si="4"/>
        <v>0.9371670400663814</v>
      </c>
      <c r="C85" s="31">
        <f t="shared" si="5"/>
        <v>1.531418803181027</v>
      </c>
      <c r="D85" s="1"/>
      <c r="E85" s="36">
        <f t="shared" si="6"/>
        <v>476.57094015905136</v>
      </c>
    </row>
    <row r="86" spans="2:5" ht="12">
      <c r="B86" s="28">
        <f ca="1" t="shared" si="4"/>
        <v>0.4659114398461871</v>
      </c>
      <c r="C86" s="31">
        <f t="shared" si="5"/>
        <v>-0.08555159400909965</v>
      </c>
      <c r="D86" s="1"/>
      <c r="E86" s="36">
        <f t="shared" si="6"/>
        <v>395.72242029954504</v>
      </c>
    </row>
    <row r="87" spans="2:5" ht="12">
      <c r="B87" s="28">
        <f ca="1" t="shared" si="4"/>
        <v>0.6786220054228124</v>
      </c>
      <c r="C87" s="31">
        <f t="shared" si="5"/>
        <v>0.46384892327237537</v>
      </c>
      <c r="D87" s="1"/>
      <c r="E87" s="36">
        <f t="shared" si="6"/>
        <v>423.1924461636188</v>
      </c>
    </row>
    <row r="88" spans="2:5" ht="12">
      <c r="B88" s="28">
        <f ca="1" t="shared" si="4"/>
        <v>0.5667136261730988</v>
      </c>
      <c r="C88" s="31">
        <f t="shared" si="5"/>
        <v>0.16801338678631442</v>
      </c>
      <c r="D88" s="1"/>
      <c r="E88" s="36">
        <f t="shared" si="6"/>
        <v>408.4006693393157</v>
      </c>
    </row>
    <row r="89" spans="2:5" ht="12">
      <c r="B89" s="28">
        <f ca="1" t="shared" si="4"/>
        <v>0.5526136268041013</v>
      </c>
      <c r="C89" s="31">
        <f t="shared" si="5"/>
        <v>0.13226745743873605</v>
      </c>
      <c r="D89" s="1"/>
      <c r="E89" s="36">
        <f t="shared" si="6"/>
        <v>406.6133728719368</v>
      </c>
    </row>
    <row r="90" spans="2:5" ht="12">
      <c r="B90" s="28">
        <f ca="1" t="shared" si="4"/>
        <v>0.4267140813252205</v>
      </c>
      <c r="C90" s="31">
        <f t="shared" si="5"/>
        <v>-0.18474612968137316</v>
      </c>
      <c r="D90" s="1"/>
      <c r="E90" s="36">
        <f t="shared" si="6"/>
        <v>390.76269351593135</v>
      </c>
    </row>
    <row r="91" spans="2:5" ht="12">
      <c r="B91" s="28">
        <f ca="1" t="shared" si="4"/>
        <v>0.582742155758606</v>
      </c>
      <c r="C91" s="31">
        <f t="shared" si="5"/>
        <v>0.2089135982938769</v>
      </c>
      <c r="D91" s="1"/>
      <c r="E91" s="36">
        <f t="shared" si="6"/>
        <v>410.44567991469387</v>
      </c>
    </row>
    <row r="92" spans="2:5" ht="12">
      <c r="B92" s="28">
        <f ca="1" t="shared" si="4"/>
        <v>0.07826329647669827</v>
      </c>
      <c r="C92" s="31">
        <f t="shared" si="5"/>
        <v>-1.4168506656253532</v>
      </c>
      <c r="D92" s="1"/>
      <c r="E92" s="36">
        <f t="shared" si="6"/>
        <v>329.15746671873234</v>
      </c>
    </row>
    <row r="93" spans="2:5" ht="12">
      <c r="B93" s="28">
        <f ca="1" t="shared" si="4"/>
        <v>0.41313287124450204</v>
      </c>
      <c r="C93" s="31">
        <f t="shared" si="5"/>
        <v>-0.21949337184894915</v>
      </c>
      <c r="D93" s="1"/>
      <c r="E93" s="36">
        <f t="shared" si="6"/>
        <v>389.0253314075525</v>
      </c>
    </row>
    <row r="94" spans="2:5" ht="12">
      <c r="B94" s="28">
        <f ca="1" t="shared" si="4"/>
        <v>0.49481528752954773</v>
      </c>
      <c r="C94" s="31">
        <f t="shared" si="5"/>
        <v>-0.012996512737069898</v>
      </c>
      <c r="D94" s="1"/>
      <c r="E94" s="36">
        <f t="shared" si="6"/>
        <v>399.3501743631465</v>
      </c>
    </row>
    <row r="95" spans="2:5" ht="12">
      <c r="B95" s="28">
        <f ca="1" t="shared" si="4"/>
        <v>0.663989663123866</v>
      </c>
      <c r="C95" s="31">
        <f t="shared" si="5"/>
        <v>0.4233763820601213</v>
      </c>
      <c r="D95" s="1"/>
      <c r="E95" s="36">
        <f t="shared" si="6"/>
        <v>421.16881910300606</v>
      </c>
    </row>
    <row r="96" spans="2:5" ht="12">
      <c r="B96" s="28">
        <f ca="1" t="shared" si="4"/>
        <v>0.8002889167859853</v>
      </c>
      <c r="C96" s="31">
        <f t="shared" si="5"/>
        <v>0.8426536681901232</v>
      </c>
      <c r="D96" s="1"/>
      <c r="E96" s="36">
        <f t="shared" si="6"/>
        <v>442.13268340950617</v>
      </c>
    </row>
    <row r="97" spans="2:5" ht="12">
      <c r="B97" s="28">
        <f ca="1" t="shared" si="4"/>
        <v>0.25030248003826205</v>
      </c>
      <c r="C97" s="31">
        <f t="shared" si="5"/>
        <v>-0.673538191610785</v>
      </c>
      <c r="D97" s="1"/>
      <c r="E97" s="36">
        <f t="shared" si="6"/>
        <v>366.32309041946075</v>
      </c>
    </row>
    <row r="98" spans="2:5" ht="12">
      <c r="B98" s="28">
        <f ca="1" t="shared" si="4"/>
        <v>0.7880569648015844</v>
      </c>
      <c r="C98" s="31">
        <f t="shared" si="5"/>
        <v>0.7996975196114473</v>
      </c>
      <c r="D98" s="1"/>
      <c r="E98" s="36">
        <f t="shared" si="6"/>
        <v>439.9848759805724</v>
      </c>
    </row>
    <row r="99" spans="2:5" ht="12">
      <c r="B99" s="28">
        <f ca="1" t="shared" si="4"/>
        <v>0.210202594860189</v>
      </c>
      <c r="C99" s="31">
        <f t="shared" si="5"/>
        <v>-0.8057184830569014</v>
      </c>
      <c r="D99" s="1"/>
      <c r="E99" s="36">
        <f t="shared" si="6"/>
        <v>359.71407584715496</v>
      </c>
    </row>
    <row r="100" spans="2:5" ht="12">
      <c r="B100" s="28">
        <f ca="1" t="shared" si="4"/>
        <v>0.010330160204505168</v>
      </c>
      <c r="C100" s="31">
        <f t="shared" si="5"/>
        <v>-2.3141349574286663</v>
      </c>
      <c r="D100" s="1"/>
      <c r="E100" s="36">
        <f t="shared" si="6"/>
        <v>284.2932521285667</v>
      </c>
    </row>
    <row r="101" spans="2:5" ht="12">
      <c r="B101" s="28">
        <f ca="1" t="shared" si="4"/>
        <v>0.7745685055587612</v>
      </c>
      <c r="C101" s="31">
        <f t="shared" si="5"/>
        <v>0.7539770727731107</v>
      </c>
      <c r="D101" s="1"/>
      <c r="E101" s="36">
        <f t="shared" si="6"/>
        <v>437.6988536386555</v>
      </c>
    </row>
    <row r="102" spans="2:5" ht="12">
      <c r="B102" s="28">
        <f ca="1" t="shared" si="4"/>
        <v>0.8716742774163623</v>
      </c>
      <c r="C102" s="31">
        <f t="shared" si="5"/>
        <v>1.1343412196389338</v>
      </c>
      <c r="D102" s="1"/>
      <c r="E102" s="36">
        <f t="shared" si="6"/>
        <v>456.7170609819467</v>
      </c>
    </row>
    <row r="103" spans="2:5" ht="12">
      <c r="B103" s="28">
        <f ca="1" t="shared" si="4"/>
        <v>0.7373958766354787</v>
      </c>
      <c r="C103" s="31">
        <f t="shared" si="5"/>
        <v>0.6353376139814039</v>
      </c>
      <c r="D103" s="1"/>
      <c r="E103" s="36">
        <f t="shared" si="6"/>
        <v>431.7668806990702</v>
      </c>
    </row>
    <row r="104" spans="2:5" ht="12">
      <c r="B104" s="28">
        <f ca="1" t="shared" si="4"/>
        <v>0.7827242716728042</v>
      </c>
      <c r="C104" s="31">
        <f t="shared" si="5"/>
        <v>0.7814268971501668</v>
      </c>
      <c r="D104" s="1"/>
      <c r="E104" s="36">
        <f t="shared" si="6"/>
        <v>439.07134485750834</v>
      </c>
    </row>
    <row r="105" spans="2:5" ht="12">
      <c r="B105" s="28">
        <f ca="1" t="shared" si="4"/>
        <v>0.24678132730585434</v>
      </c>
      <c r="C105" s="31">
        <f t="shared" si="5"/>
        <v>-0.684653410912292</v>
      </c>
      <c r="D105" s="1"/>
      <c r="E105" s="36">
        <f t="shared" si="6"/>
        <v>365.7673294543854</v>
      </c>
    </row>
    <row r="106" spans="2:5" ht="12">
      <c r="B106" s="28">
        <f ca="1" t="shared" si="4"/>
        <v>0.5054240039712852</v>
      </c>
      <c r="C106" s="31">
        <f t="shared" si="5"/>
        <v>0.013596380612553298</v>
      </c>
      <c r="D106" s="1"/>
      <c r="E106" s="36">
        <f t="shared" si="6"/>
        <v>400.67981903062764</v>
      </c>
    </row>
    <row r="107" spans="2:5" ht="12">
      <c r="B107" s="28">
        <f ca="1" t="shared" si="4"/>
        <v>0.6875474069050445</v>
      </c>
      <c r="C107" s="31">
        <f t="shared" si="5"/>
        <v>0.48891032411621965</v>
      </c>
      <c r="D107" s="1"/>
      <c r="E107" s="36">
        <f t="shared" si="6"/>
        <v>424.445516205811</v>
      </c>
    </row>
    <row r="108" spans="2:5" ht="12">
      <c r="B108" s="28">
        <f ca="1" t="shared" si="4"/>
        <v>0.780661194179057</v>
      </c>
      <c r="C108" s="31">
        <f t="shared" si="5"/>
        <v>0.7744282016674154</v>
      </c>
      <c r="D108" s="1"/>
      <c r="E108" s="36">
        <f t="shared" si="6"/>
        <v>438.72141008337076</v>
      </c>
    </row>
    <row r="109" spans="2:5" ht="12">
      <c r="B109" s="28">
        <f ca="1" t="shared" si="4"/>
        <v>0.04705459890951913</v>
      </c>
      <c r="C109" s="31">
        <f t="shared" si="5"/>
        <v>-1.6741089057779133</v>
      </c>
      <c r="D109" s="1"/>
      <c r="E109" s="36">
        <f t="shared" si="6"/>
        <v>316.29455471110435</v>
      </c>
    </row>
    <row r="110" spans="2:5" ht="12">
      <c r="B110" s="28">
        <f ca="1" t="shared" si="4"/>
        <v>0.2938942854291705</v>
      </c>
      <c r="C110" s="31">
        <f t="shared" si="5"/>
        <v>-0.5420434544961483</v>
      </c>
      <c r="D110" s="1"/>
      <c r="E110" s="36">
        <f t="shared" si="6"/>
        <v>372.8978272751926</v>
      </c>
    </row>
    <row r="111" spans="2:5" ht="12">
      <c r="B111" s="28">
        <f ca="1" t="shared" si="4"/>
        <v>0.4545314706055845</v>
      </c>
      <c r="C111" s="31">
        <f t="shared" si="5"/>
        <v>-0.11422057619048241</v>
      </c>
      <c r="D111" s="1"/>
      <c r="E111" s="36">
        <f t="shared" si="6"/>
        <v>394.2889711904759</v>
      </c>
    </row>
    <row r="112" spans="2:5" ht="12">
      <c r="B112" s="28">
        <f ca="1" t="shared" si="4"/>
        <v>0.5563804177514985</v>
      </c>
      <c r="C112" s="31">
        <f t="shared" si="5"/>
        <v>0.14179850560478785</v>
      </c>
      <c r="D112" s="1"/>
      <c r="E112" s="36">
        <f t="shared" si="6"/>
        <v>407.0899252802394</v>
      </c>
    </row>
    <row r="113" spans="2:5" ht="12">
      <c r="B113" s="28">
        <f ca="1" t="shared" si="4"/>
        <v>0.986800451110746</v>
      </c>
      <c r="C113" s="31">
        <f t="shared" si="5"/>
        <v>2.220289860388892</v>
      </c>
      <c r="D113" s="1"/>
      <c r="E113" s="36">
        <f t="shared" si="6"/>
        <v>511.01449301944456</v>
      </c>
    </row>
    <row r="114" spans="2:5" ht="12">
      <c r="B114" s="28">
        <f ca="1" t="shared" si="4"/>
        <v>0.050571499205782966</v>
      </c>
      <c r="C114" s="31">
        <f t="shared" si="5"/>
        <v>-1.639337460781894</v>
      </c>
      <c r="D114" s="1"/>
      <c r="E114" s="36">
        <f t="shared" si="6"/>
        <v>318.0331269609053</v>
      </c>
    </row>
    <row r="115" spans="2:5" ht="12">
      <c r="B115" s="28">
        <f ca="1" t="shared" si="4"/>
        <v>0.937246770050308</v>
      </c>
      <c r="C115" s="31">
        <f t="shared" si="5"/>
        <v>1.532064739332147</v>
      </c>
      <c r="D115" s="1"/>
      <c r="E115" s="36">
        <f t="shared" si="6"/>
        <v>476.60323696660737</v>
      </c>
    </row>
    <row r="116" spans="2:5" ht="12">
      <c r="B116" s="28">
        <f ca="1" t="shared" si="4"/>
        <v>0.5422202738676994</v>
      </c>
      <c r="C116" s="31">
        <f t="shared" si="5"/>
        <v>0.10602886253573965</v>
      </c>
      <c r="D116" s="1"/>
      <c r="E116" s="36">
        <f t="shared" si="6"/>
        <v>405.301443126787</v>
      </c>
    </row>
    <row r="117" spans="2:5" ht="12">
      <c r="B117" s="28">
        <f ca="1" t="shared" si="4"/>
        <v>0.5924575682581783</v>
      </c>
      <c r="C117" s="31">
        <f t="shared" si="5"/>
        <v>0.2338713401591318</v>
      </c>
      <c r="D117" s="1"/>
      <c r="E117" s="36">
        <f t="shared" si="6"/>
        <v>411.6935670079566</v>
      </c>
    </row>
    <row r="118" spans="2:5" ht="12">
      <c r="B118" s="28">
        <f ca="1" t="shared" si="4"/>
        <v>0.529635838256335</v>
      </c>
      <c r="C118" s="31">
        <f t="shared" si="5"/>
        <v>0.07435448590901682</v>
      </c>
      <c r="D118" s="1"/>
      <c r="E118" s="36">
        <f t="shared" si="6"/>
        <v>403.71772429545086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0.140625" style="0" customWidth="1"/>
    <col min="4" max="4" width="7.8515625" style="0" customWidth="1"/>
    <col min="5" max="8" width="6.7109375" style="3" customWidth="1"/>
    <col min="9" max="15" width="6.7109375" style="0" customWidth="1"/>
    <col min="16" max="16" width="3.57421875" style="0" customWidth="1"/>
  </cols>
  <sheetData>
    <row r="1" ht="12">
      <c r="B1" t="s">
        <v>180</v>
      </c>
    </row>
    <row r="2" ht="12">
      <c r="B2" t="s">
        <v>134</v>
      </c>
    </row>
    <row r="3" ht="12">
      <c r="B3" t="s">
        <v>326</v>
      </c>
    </row>
    <row r="4" spans="2:11" ht="12">
      <c r="B4" s="2" t="s">
        <v>110</v>
      </c>
      <c r="C4" s="18"/>
      <c r="D4" s="19"/>
      <c r="E4" s="11"/>
      <c r="F4" s="20"/>
      <c r="G4" s="21"/>
      <c r="H4" s="22"/>
      <c r="I4" s="23"/>
      <c r="J4" s="25"/>
      <c r="K4" s="54"/>
    </row>
    <row r="6" ht="12">
      <c r="B6" t="s">
        <v>196</v>
      </c>
    </row>
    <row r="7" ht="12">
      <c r="D7" s="18" t="s">
        <v>165</v>
      </c>
    </row>
    <row r="8" spans="4:8" ht="27.75" customHeight="1">
      <c r="D8" s="26" t="s">
        <v>9</v>
      </c>
      <c r="E8" s="64" t="s">
        <v>16</v>
      </c>
      <c r="F8" s="5"/>
      <c r="G8" s="5"/>
      <c r="H8" s="5"/>
    </row>
    <row r="9" spans="4:15" ht="15" customHeight="1">
      <c r="D9" s="26"/>
      <c r="E9" s="32" t="s">
        <v>10</v>
      </c>
      <c r="F9" s="65" t="s">
        <v>11</v>
      </c>
      <c r="G9" s="5"/>
      <c r="H9" s="68" t="s">
        <v>12</v>
      </c>
      <c r="I9" s="68" t="s">
        <v>13</v>
      </c>
      <c r="J9" s="68" t="s">
        <v>14</v>
      </c>
      <c r="K9" s="68" t="s">
        <v>15</v>
      </c>
      <c r="L9" s="68" t="s">
        <v>18</v>
      </c>
      <c r="M9" s="68" t="s">
        <v>19</v>
      </c>
      <c r="N9" s="68" t="s">
        <v>20</v>
      </c>
      <c r="O9" s="68" t="s">
        <v>21</v>
      </c>
    </row>
    <row r="10" spans="3:15" ht="12">
      <c r="C10" s="61" t="s">
        <v>136</v>
      </c>
      <c r="D10" s="85">
        <v>400</v>
      </c>
      <c r="E10" s="33"/>
      <c r="F10" s="66"/>
      <c r="H10" s="69"/>
      <c r="I10" s="21"/>
      <c r="J10" s="21"/>
      <c r="K10" s="21"/>
      <c r="L10" s="21"/>
      <c r="M10" s="21"/>
      <c r="N10" s="21"/>
      <c r="O10" s="21"/>
    </row>
    <row r="11" spans="3:15" ht="12">
      <c r="C11" s="61" t="s">
        <v>137</v>
      </c>
      <c r="D11" s="85">
        <v>50</v>
      </c>
      <c r="E11" s="33"/>
      <c r="F11" s="66"/>
      <c r="H11" s="69"/>
      <c r="I11" s="21"/>
      <c r="J11" s="21"/>
      <c r="K11" s="21"/>
      <c r="L11" s="21"/>
      <c r="M11" s="21"/>
      <c r="N11" s="21"/>
      <c r="O11" s="21"/>
    </row>
    <row r="12" spans="3:15" ht="12">
      <c r="C12" s="12" t="s">
        <v>135</v>
      </c>
      <c r="D12" s="33"/>
      <c r="E12" s="78">
        <v>19</v>
      </c>
      <c r="F12" s="86">
        <v>9</v>
      </c>
      <c r="H12" s="87">
        <v>9</v>
      </c>
      <c r="I12" s="87">
        <f>H12</f>
        <v>9</v>
      </c>
      <c r="J12" s="87">
        <f aca="true" t="shared" si="0" ref="J12:O12">I12</f>
        <v>9</v>
      </c>
      <c r="K12" s="87">
        <f t="shared" si="0"/>
        <v>9</v>
      </c>
      <c r="L12" s="87">
        <f t="shared" si="0"/>
        <v>9</v>
      </c>
      <c r="M12" s="87">
        <f t="shared" si="0"/>
        <v>9</v>
      </c>
      <c r="N12" s="87">
        <f t="shared" si="0"/>
        <v>9</v>
      </c>
      <c r="O12" s="87">
        <f t="shared" si="0"/>
        <v>9</v>
      </c>
    </row>
    <row r="13" spans="3:19" ht="12">
      <c r="C13" s="12" t="s">
        <v>17</v>
      </c>
      <c r="D13" s="11"/>
      <c r="E13" s="78">
        <v>-10</v>
      </c>
      <c r="F13" s="86">
        <v>-3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Q13" s="37" t="s">
        <v>132</v>
      </c>
      <c r="R13" s="37" t="s">
        <v>132</v>
      </c>
      <c r="S13" s="37" t="s">
        <v>133</v>
      </c>
    </row>
    <row r="14" spans="3:19" ht="12">
      <c r="C14" s="2"/>
      <c r="E14" s="17" t="s">
        <v>10</v>
      </c>
      <c r="F14" s="73" t="s">
        <v>11</v>
      </c>
      <c r="G14" s="74" t="s">
        <v>130</v>
      </c>
      <c r="H14" s="75"/>
      <c r="I14" s="76"/>
      <c r="J14" s="76"/>
      <c r="K14" s="76"/>
      <c r="L14" s="76"/>
      <c r="M14" s="76"/>
      <c r="N14" s="76"/>
      <c r="O14" s="76"/>
      <c r="P14" s="57"/>
      <c r="Q14" s="77" t="s">
        <v>0</v>
      </c>
      <c r="R14" s="77" t="s">
        <v>2</v>
      </c>
      <c r="S14" s="77" t="s">
        <v>131</v>
      </c>
    </row>
    <row r="15" spans="3:19" ht="12">
      <c r="C15" s="62" t="s">
        <v>22</v>
      </c>
      <c r="D15" s="63">
        <f ca="1">$D$10+$D$11*NORMSINV(RAND())</f>
        <v>411.78689855913655</v>
      </c>
      <c r="E15" s="13">
        <f ca="1">D15+$E$13+$E$12*NORMSINV(RAND())</f>
        <v>424.50635310684254</v>
      </c>
      <c r="F15" s="67">
        <f ca="1">D15+$F$13+$F$12*NORMSINV(RAND())</f>
        <v>398.2556392913144</v>
      </c>
      <c r="G15" s="71">
        <f>F15-E15</f>
        <v>-26.250713815528115</v>
      </c>
      <c r="H15" s="70">
        <f aca="true" ca="1" t="shared" si="1" ref="H15:O15">$D15+H$13+H$12*NORMSINV(RAND())</f>
        <v>398.2031660313865</v>
      </c>
      <c r="I15" s="70">
        <f ca="1" t="shared" si="1"/>
        <v>405.1893323348748</v>
      </c>
      <c r="J15" s="70">
        <f ca="1" t="shared" si="1"/>
        <v>414.1675473942644</v>
      </c>
      <c r="K15" s="70">
        <f ca="1" t="shared" si="1"/>
        <v>407.8981284432267</v>
      </c>
      <c r="L15" s="70">
        <f ca="1" t="shared" si="1"/>
        <v>415.579096736296</v>
      </c>
      <c r="M15" s="70">
        <f ca="1" t="shared" si="1"/>
        <v>417.7999727841744</v>
      </c>
      <c r="N15" s="70">
        <f ca="1" t="shared" si="1"/>
        <v>415.5196801826379</v>
      </c>
      <c r="O15" s="70">
        <f ca="1" t="shared" si="1"/>
        <v>406.6779482877018</v>
      </c>
      <c r="Q15" s="90">
        <f>AVERAGE(H15:O15)</f>
        <v>410.12935902432025</v>
      </c>
      <c r="R15" s="88">
        <f>STDEV(H15:O15)</f>
        <v>6.734018679798654</v>
      </c>
      <c r="S15" s="88">
        <f>STDEV(H15:O15,E15:F15)</f>
        <v>8.59253936052213</v>
      </c>
    </row>
    <row r="16" spans="3:9" ht="12">
      <c r="C16" s="62" t="s">
        <v>23</v>
      </c>
      <c r="D16" s="63">
        <f aca="true" ca="1" t="shared" si="2" ref="D16:D34">$D$10+$D$11*NORMSINV(RAND())</f>
        <v>341.19558578994184</v>
      </c>
      <c r="E16" s="13">
        <f aca="true" ca="1" t="shared" si="3" ref="E16:E34">D16+$E$13+$E$12*NORMSINV(RAND())</f>
        <v>338.79428805141055</v>
      </c>
      <c r="F16" s="67">
        <f aca="true" ca="1" t="shared" si="4" ref="F16:F34">D16+$F$13+$F$12*NORMSINV(RAND())</f>
        <v>357.8110546921794</v>
      </c>
      <c r="G16" s="71">
        <f aca="true" t="shared" si="5" ref="G16:G34">F16-E16</f>
        <v>19.01676664076888</v>
      </c>
      <c r="H16"/>
      <c r="I16" t="s">
        <v>292</v>
      </c>
    </row>
    <row r="17" spans="3:8" ht="12">
      <c r="C17" s="62" t="s">
        <v>24</v>
      </c>
      <c r="D17" s="63">
        <f ca="1" t="shared" si="2"/>
        <v>412.51117912594</v>
      </c>
      <c r="E17" s="13">
        <f ca="1" t="shared" si="3"/>
        <v>377.3168172005843</v>
      </c>
      <c r="F17" s="67">
        <f ca="1" t="shared" si="4"/>
        <v>400.54912266465277</v>
      </c>
      <c r="G17" s="71">
        <f t="shared" si="5"/>
        <v>23.232305464068475</v>
      </c>
      <c r="H17"/>
    </row>
    <row r="18" spans="3:8" ht="12">
      <c r="C18" s="62" t="s">
        <v>25</v>
      </c>
      <c r="D18" s="63">
        <f ca="1" t="shared" si="2"/>
        <v>399.0838240757344</v>
      </c>
      <c r="E18" s="13">
        <f ca="1" t="shared" si="3"/>
        <v>379.55503612428475</v>
      </c>
      <c r="F18" s="67">
        <f ca="1" t="shared" si="4"/>
        <v>387.2286150131077</v>
      </c>
      <c r="G18" s="71">
        <f t="shared" si="5"/>
        <v>7.673578888822931</v>
      </c>
      <c r="H18"/>
    </row>
    <row r="19" spans="3:8" ht="12">
      <c r="C19" s="62" t="s">
        <v>26</v>
      </c>
      <c r="D19" s="63">
        <f ca="1" t="shared" si="2"/>
        <v>315.88115419282155</v>
      </c>
      <c r="E19" s="13">
        <f ca="1" t="shared" si="3"/>
        <v>312.1349712690664</v>
      </c>
      <c r="F19" s="67">
        <f ca="1" t="shared" si="4"/>
        <v>312.08648804522426</v>
      </c>
      <c r="G19" s="71">
        <f t="shared" si="5"/>
        <v>-0.04848322384214043</v>
      </c>
      <c r="H19"/>
    </row>
    <row r="20" spans="3:8" ht="12">
      <c r="C20" s="62" t="s">
        <v>27</v>
      </c>
      <c r="D20" s="63">
        <f ca="1" t="shared" si="2"/>
        <v>404.47845848629595</v>
      </c>
      <c r="E20" s="13">
        <f ca="1" t="shared" si="3"/>
        <v>405.8552701375525</v>
      </c>
      <c r="F20" s="67">
        <f ca="1" t="shared" si="4"/>
        <v>394.8126806143159</v>
      </c>
      <c r="G20" s="71">
        <f t="shared" si="5"/>
        <v>-11.042589523236586</v>
      </c>
      <c r="H20"/>
    </row>
    <row r="21" spans="3:8" ht="12">
      <c r="C21" s="62" t="s">
        <v>28</v>
      </c>
      <c r="D21" s="63">
        <f ca="1" t="shared" si="2"/>
        <v>392.3936684900654</v>
      </c>
      <c r="E21" s="13">
        <f ca="1" t="shared" si="3"/>
        <v>396.31083151435485</v>
      </c>
      <c r="F21" s="67">
        <f ca="1" t="shared" si="4"/>
        <v>385.0025422998643</v>
      </c>
      <c r="G21" s="71">
        <f t="shared" si="5"/>
        <v>-11.308289214490571</v>
      </c>
      <c r="H21" s="4"/>
    </row>
    <row r="22" spans="3:8" ht="12">
      <c r="C22" s="62" t="s">
        <v>29</v>
      </c>
      <c r="D22" s="63">
        <f ca="1" t="shared" si="2"/>
        <v>413.83534196368805</v>
      </c>
      <c r="E22" s="13">
        <f ca="1" t="shared" si="3"/>
        <v>363.29330401576397</v>
      </c>
      <c r="F22" s="67">
        <f ca="1" t="shared" si="4"/>
        <v>399.60166746437415</v>
      </c>
      <c r="G22" s="71">
        <f t="shared" si="5"/>
        <v>36.30836344861018</v>
      </c>
      <c r="H22" s="4"/>
    </row>
    <row r="23" spans="3:8" ht="12">
      <c r="C23" s="62" t="s">
        <v>30</v>
      </c>
      <c r="D23" s="63">
        <f ca="1" t="shared" si="2"/>
        <v>399.81511762846236</v>
      </c>
      <c r="E23" s="13">
        <f ca="1" t="shared" si="3"/>
        <v>387.6545224860236</v>
      </c>
      <c r="F23" s="67">
        <f ca="1" t="shared" si="4"/>
        <v>383.2572629383685</v>
      </c>
      <c r="G23" s="71">
        <f t="shared" si="5"/>
        <v>-4.397259547655096</v>
      </c>
      <c r="H23" s="4"/>
    </row>
    <row r="24" spans="3:8" ht="12">
      <c r="C24" s="62" t="s">
        <v>31</v>
      </c>
      <c r="D24" s="63">
        <f ca="1" t="shared" si="2"/>
        <v>412.58077093835897</v>
      </c>
      <c r="E24" s="13">
        <f ca="1" t="shared" si="3"/>
        <v>380.2199014619207</v>
      </c>
      <c r="F24" s="67">
        <f ca="1" t="shared" si="4"/>
        <v>412.8028390284398</v>
      </c>
      <c r="G24" s="71">
        <f t="shared" si="5"/>
        <v>32.58293756651909</v>
      </c>
      <c r="H24" s="4"/>
    </row>
    <row r="25" spans="3:8" ht="12">
      <c r="C25" s="62" t="s">
        <v>32</v>
      </c>
      <c r="D25" s="63">
        <f ca="1" t="shared" si="2"/>
        <v>482.16641020893803</v>
      </c>
      <c r="E25" s="13">
        <f ca="1" t="shared" si="3"/>
        <v>466.5388013396116</v>
      </c>
      <c r="F25" s="67">
        <f ca="1" t="shared" si="4"/>
        <v>478.0876869126573</v>
      </c>
      <c r="G25" s="71">
        <f t="shared" si="5"/>
        <v>11.548885573045709</v>
      </c>
      <c r="H25" s="4"/>
    </row>
    <row r="26" spans="3:8" ht="12">
      <c r="C26" s="62" t="s">
        <v>33</v>
      </c>
      <c r="D26" s="63">
        <f ca="1" t="shared" si="2"/>
        <v>401.6398115284051</v>
      </c>
      <c r="E26" s="13">
        <f ca="1" t="shared" si="3"/>
        <v>419.33838394004533</v>
      </c>
      <c r="F26" s="67">
        <f ca="1" t="shared" si="4"/>
        <v>391.72227770902225</v>
      </c>
      <c r="G26" s="71">
        <f t="shared" si="5"/>
        <v>-27.616106231023082</v>
      </c>
      <c r="H26" s="4"/>
    </row>
    <row r="27" spans="3:8" ht="12">
      <c r="C27" s="62" t="s">
        <v>34</v>
      </c>
      <c r="D27" s="63">
        <f ca="1" t="shared" si="2"/>
        <v>291.31455624615154</v>
      </c>
      <c r="E27" s="13">
        <f ca="1" t="shared" si="3"/>
        <v>242.45436955203675</v>
      </c>
      <c r="F27" s="67">
        <f ca="1" t="shared" si="4"/>
        <v>286.33736504763556</v>
      </c>
      <c r="G27" s="71">
        <f t="shared" si="5"/>
        <v>43.882995495598806</v>
      </c>
      <c r="H27" s="4"/>
    </row>
    <row r="28" spans="3:8" ht="12">
      <c r="C28" s="62" t="s">
        <v>35</v>
      </c>
      <c r="D28" s="63">
        <f ca="1" t="shared" si="2"/>
        <v>396.3307781731702</v>
      </c>
      <c r="E28" s="13">
        <f ca="1" t="shared" si="3"/>
        <v>375.0231682864865</v>
      </c>
      <c r="F28" s="67">
        <f ca="1" t="shared" si="4"/>
        <v>378.0460657649787</v>
      </c>
      <c r="G28" s="71">
        <f t="shared" si="5"/>
        <v>3.0228974784922116</v>
      </c>
      <c r="H28" s="4"/>
    </row>
    <row r="29" spans="3:8" ht="12">
      <c r="C29" s="62" t="s">
        <v>36</v>
      </c>
      <c r="D29" s="63">
        <f ca="1" t="shared" si="2"/>
        <v>415.40821849387316</v>
      </c>
      <c r="E29" s="13">
        <f ca="1" t="shared" si="3"/>
        <v>416.07801755194873</v>
      </c>
      <c r="F29" s="67">
        <f ca="1" t="shared" si="4"/>
        <v>410.7876521603696</v>
      </c>
      <c r="G29" s="71">
        <f t="shared" si="5"/>
        <v>-5.290365391579144</v>
      </c>
      <c r="H29" s="4"/>
    </row>
    <row r="30" spans="3:8" ht="12">
      <c r="C30" s="62" t="s">
        <v>37</v>
      </c>
      <c r="D30" s="63">
        <f ca="1" t="shared" si="2"/>
        <v>374.1102969199262</v>
      </c>
      <c r="E30" s="13">
        <f ca="1" t="shared" si="3"/>
        <v>386.40055088254616</v>
      </c>
      <c r="F30" s="67">
        <f ca="1" t="shared" si="4"/>
        <v>387.47473055862855</v>
      </c>
      <c r="G30" s="71">
        <f t="shared" si="5"/>
        <v>1.0741796760823945</v>
      </c>
      <c r="H30" s="4"/>
    </row>
    <row r="31" spans="3:8" ht="12">
      <c r="C31" s="62" t="s">
        <v>38</v>
      </c>
      <c r="D31" s="63">
        <f ca="1" t="shared" si="2"/>
        <v>412.0820844129855</v>
      </c>
      <c r="E31" s="13">
        <f ca="1" t="shared" si="3"/>
        <v>429.93631644630494</v>
      </c>
      <c r="F31" s="67">
        <f ca="1" t="shared" si="4"/>
        <v>398.41247304116564</v>
      </c>
      <c r="G31" s="71">
        <f t="shared" si="5"/>
        <v>-31.523843405139303</v>
      </c>
      <c r="H31" s="4"/>
    </row>
    <row r="32" spans="3:8" ht="12">
      <c r="C32" s="62" t="s">
        <v>42</v>
      </c>
      <c r="D32" s="63">
        <f ca="1" t="shared" si="2"/>
        <v>452.39761978181986</v>
      </c>
      <c r="E32" s="13">
        <f ca="1" t="shared" si="3"/>
        <v>473.6773288397798</v>
      </c>
      <c r="F32" s="67">
        <f ca="1" t="shared" si="4"/>
        <v>459.93914835296084</v>
      </c>
      <c r="G32" s="71">
        <f t="shared" si="5"/>
        <v>-13.738180486818976</v>
      </c>
      <c r="H32" s="4"/>
    </row>
    <row r="33" spans="3:8" ht="12">
      <c r="C33" s="62" t="s">
        <v>39</v>
      </c>
      <c r="D33" s="63">
        <f ca="1" t="shared" si="2"/>
        <v>407.0894766148711</v>
      </c>
      <c r="E33" s="13">
        <f ca="1" t="shared" si="3"/>
        <v>394.24671517874623</v>
      </c>
      <c r="F33" s="67">
        <f ca="1" t="shared" si="4"/>
        <v>407.2459855666203</v>
      </c>
      <c r="G33" s="71">
        <f>F33-E33</f>
        <v>12.999270387874049</v>
      </c>
      <c r="H33" s="4"/>
    </row>
    <row r="34" spans="3:8" ht="12">
      <c r="C34" s="19" t="s">
        <v>45</v>
      </c>
      <c r="D34" s="63">
        <f ca="1" t="shared" si="2"/>
        <v>393.0060162424718</v>
      </c>
      <c r="E34" s="13">
        <f ca="1" t="shared" si="3"/>
        <v>376.1683870980374</v>
      </c>
      <c r="F34" s="67">
        <f ca="1" t="shared" si="4"/>
        <v>394.2362887623782</v>
      </c>
      <c r="G34" s="71">
        <f t="shared" si="5"/>
        <v>18.06790166434081</v>
      </c>
      <c r="H34" s="4"/>
    </row>
    <row r="35" spans="4:8" ht="12">
      <c r="D35" s="4"/>
      <c r="E35" s="4"/>
      <c r="F35" s="4"/>
      <c r="G35" s="4"/>
      <c r="H35" s="4"/>
    </row>
    <row r="36" spans="3:8" ht="12">
      <c r="C36" s="60" t="s">
        <v>1</v>
      </c>
      <c r="D36" s="72"/>
      <c r="E36" s="89">
        <f>COUNT(E15:E34)</f>
        <v>20</v>
      </c>
      <c r="F36" s="89">
        <f>COUNT(F15:F34)</f>
        <v>20</v>
      </c>
      <c r="G36" s="89">
        <f>COUNT(G15:G34)</f>
        <v>20</v>
      </c>
      <c r="H36" s="4"/>
    </row>
    <row r="37" spans="3:8" ht="12">
      <c r="C37" s="60" t="s">
        <v>4</v>
      </c>
      <c r="D37" s="72"/>
      <c r="E37" s="81">
        <f>AVERAGE(E15:E34)</f>
        <v>387.2751667241674</v>
      </c>
      <c r="F37" s="81">
        <f>AVERAGE(F15:F34)</f>
        <v>391.18487929641293</v>
      </c>
      <c r="G37" s="81">
        <f>AVERAGE(G15:G34)</f>
        <v>3.909712572245526</v>
      </c>
      <c r="H37" s="4"/>
    </row>
    <row r="38" spans="3:8" ht="12">
      <c r="C38" s="60" t="s">
        <v>2</v>
      </c>
      <c r="D38" s="72"/>
      <c r="E38" s="81">
        <f>STDEV(E15:E34)</f>
        <v>50.94624453069937</v>
      </c>
      <c r="F38" s="81">
        <f>STDEV(F15:F34)</f>
        <v>41.25582602301868</v>
      </c>
      <c r="G38" s="81">
        <f>STDEV(G15:G34)</f>
        <v>21.189231622352494</v>
      </c>
      <c r="H38" s="4"/>
    </row>
    <row r="39" ht="12">
      <c r="H39" s="4"/>
    </row>
    <row r="40" spans="3:8" ht="12">
      <c r="C40" s="60" t="s">
        <v>166</v>
      </c>
      <c r="D40" s="72"/>
      <c r="E40" s="81"/>
      <c r="F40" s="81"/>
      <c r="G40" s="81">
        <f>G37</f>
        <v>3.909712572245526</v>
      </c>
      <c r="H40" s="4"/>
    </row>
    <row r="41" spans="3:8" ht="12">
      <c r="C41" s="60" t="s">
        <v>167</v>
      </c>
      <c r="D41" s="72"/>
      <c r="E41" s="81"/>
      <c r="F41" s="81"/>
      <c r="G41" s="81">
        <f>G38/SQRT(2)</f>
        <v>14.983049368297877</v>
      </c>
      <c r="H41" s="4"/>
    </row>
    <row r="42" spans="4:7" ht="12">
      <c r="D42" s="4"/>
      <c r="E42" s="4"/>
      <c r="F42" s="4"/>
      <c r="G42" s="4"/>
    </row>
    <row r="43" spans="3:6" ht="12">
      <c r="C43" s="60" t="s">
        <v>302</v>
      </c>
      <c r="D43" s="25"/>
      <c r="E43" s="43"/>
      <c r="F43" s="138">
        <f>CORREL(E15:E34,F15:F34)</f>
        <v>0.9155308880582206</v>
      </c>
    </row>
    <row r="44" ht="12">
      <c r="H44" s="4"/>
    </row>
    <row r="45" spans="4:8" ht="12">
      <c r="D45" s="4"/>
      <c r="E45" s="4"/>
      <c r="F45" s="4"/>
      <c r="G45" s="4"/>
      <c r="H45" s="4"/>
    </row>
    <row r="46" spans="4:7" ht="12">
      <c r="D46" s="4"/>
      <c r="E46" s="4"/>
      <c r="F46" s="4"/>
      <c r="G46" s="4"/>
    </row>
    <row r="47" ht="12">
      <c r="H47" s="4"/>
    </row>
    <row r="48" spans="3:8" ht="12">
      <c r="C48" s="2"/>
      <c r="D48" s="1"/>
      <c r="E48" s="4"/>
      <c r="F48" s="4"/>
      <c r="G48" s="4"/>
      <c r="H48" s="4"/>
    </row>
    <row r="49" spans="3:7" ht="12">
      <c r="C49" s="2"/>
      <c r="D49" s="1"/>
      <c r="E49" s="4"/>
      <c r="F49" s="4"/>
      <c r="G49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7" max="7" width="10.57421875" style="0" customWidth="1"/>
    <col min="8" max="8" width="7.8515625" style="0" customWidth="1"/>
    <col min="9" max="9" width="10.140625" style="0" customWidth="1"/>
    <col min="10" max="10" width="11.00390625" style="0" customWidth="1"/>
    <col min="11" max="12" width="7.8515625" style="0" customWidth="1"/>
  </cols>
  <sheetData>
    <row r="1" ht="12">
      <c r="B1" t="s">
        <v>160</v>
      </c>
    </row>
    <row r="2" ht="12">
      <c r="B2" t="s">
        <v>327</v>
      </c>
    </row>
    <row r="3" spans="2:9" ht="12">
      <c r="B3" s="2" t="s">
        <v>110</v>
      </c>
      <c r="C3" s="18"/>
      <c r="D3" s="19"/>
      <c r="E3" s="11"/>
      <c r="F3" s="20"/>
      <c r="G3" s="21"/>
      <c r="H3" s="22"/>
      <c r="I3" s="23"/>
    </row>
    <row r="4" spans="2:10" ht="12">
      <c r="B4" s="2"/>
      <c r="C4" s="24"/>
      <c r="D4" s="24"/>
      <c r="E4" s="24"/>
      <c r="F4" s="24"/>
      <c r="G4" s="24"/>
      <c r="H4" s="24"/>
      <c r="I4" s="24"/>
      <c r="J4" s="24"/>
    </row>
    <row r="6" spans="3:10" ht="12">
      <c r="C6" s="27" t="s">
        <v>138</v>
      </c>
      <c r="D6" s="27" t="s">
        <v>139</v>
      </c>
      <c r="E6" s="27" t="s">
        <v>140</v>
      </c>
      <c r="G6" s="27" t="s">
        <v>147</v>
      </c>
      <c r="H6" s="27" t="s">
        <v>148</v>
      </c>
      <c r="I6" s="27" t="s">
        <v>141</v>
      </c>
      <c r="J6" s="27" t="s">
        <v>149</v>
      </c>
    </row>
    <row r="7" spans="2:10" ht="12">
      <c r="B7" s="38"/>
      <c r="C7" s="85">
        <v>3</v>
      </c>
      <c r="D7" s="85">
        <v>4</v>
      </c>
      <c r="E7" s="99">
        <f>C7*D7</f>
        <v>12</v>
      </c>
      <c r="F7" s="38"/>
      <c r="G7" s="27">
        <f>LN(C7)</f>
        <v>1.0986122886681098</v>
      </c>
      <c r="H7" s="27">
        <f>LN(D7)</f>
        <v>1.3862943611198906</v>
      </c>
      <c r="I7" s="115">
        <f>G7+H7</f>
        <v>2.4849066497880004</v>
      </c>
      <c r="J7" s="99">
        <f>EXP(I7)</f>
        <v>12</v>
      </c>
    </row>
    <row r="9" spans="3:10" ht="12">
      <c r="C9" s="30" t="s">
        <v>138</v>
      </c>
      <c r="D9" s="30" t="s">
        <v>139</v>
      </c>
      <c r="E9" s="30" t="s">
        <v>158</v>
      </c>
      <c r="G9" s="30" t="s">
        <v>147</v>
      </c>
      <c r="H9" s="30" t="s">
        <v>148</v>
      </c>
      <c r="I9" s="30" t="s">
        <v>159</v>
      </c>
      <c r="J9" s="30" t="s">
        <v>149</v>
      </c>
    </row>
    <row r="10" spans="2:10" ht="12">
      <c r="B10" s="38"/>
      <c r="C10" s="116">
        <v>3</v>
      </c>
      <c r="D10" s="116">
        <v>4</v>
      </c>
      <c r="E10" s="92">
        <f>C10/D10</f>
        <v>0.75</v>
      </c>
      <c r="F10" s="38"/>
      <c r="G10" s="30">
        <f>LN(C10)</f>
        <v>1.0986122886681098</v>
      </c>
      <c r="H10" s="30">
        <f>LN(D10)</f>
        <v>1.3862943611198906</v>
      </c>
      <c r="I10" s="100">
        <f>G10-H10</f>
        <v>-0.2876820724517808</v>
      </c>
      <c r="J10" s="92">
        <f>EXP(I10)</f>
        <v>0.7500000000000001</v>
      </c>
    </row>
    <row r="11" spans="2:5" ht="12">
      <c r="B11" s="38"/>
      <c r="C11" s="39"/>
      <c r="D11" s="39"/>
      <c r="E11" s="98"/>
    </row>
    <row r="12" spans="2:5" ht="12">
      <c r="B12" s="38"/>
      <c r="C12" s="39"/>
      <c r="D12" s="39"/>
      <c r="E12" s="98"/>
    </row>
    <row r="13" ht="12">
      <c r="B13" t="s">
        <v>325</v>
      </c>
    </row>
    <row r="14" ht="12">
      <c r="B14" t="s">
        <v>161</v>
      </c>
    </row>
    <row r="15" ht="12">
      <c r="B15" t="s">
        <v>163</v>
      </c>
    </row>
    <row r="17" ht="12">
      <c r="B17" t="s">
        <v>201</v>
      </c>
    </row>
    <row r="18" spans="3:15" ht="12">
      <c r="C18" s="11" t="s">
        <v>200</v>
      </c>
      <c r="D18" s="11"/>
      <c r="E18" s="11"/>
      <c r="F18" s="11"/>
      <c r="G18" s="11"/>
      <c r="I18" s="21" t="s">
        <v>146</v>
      </c>
      <c r="J18" s="21"/>
      <c r="K18" s="21"/>
      <c r="M18" s="22" t="s">
        <v>164</v>
      </c>
      <c r="N18" s="22"/>
      <c r="O18" s="22"/>
    </row>
    <row r="19" spans="2:16" ht="30" customHeight="1">
      <c r="B19" s="57"/>
      <c r="C19" s="17" t="s">
        <v>150</v>
      </c>
      <c r="D19" s="17" t="s">
        <v>144</v>
      </c>
      <c r="E19" s="17" t="s">
        <v>145</v>
      </c>
      <c r="F19" s="17" t="s">
        <v>151</v>
      </c>
      <c r="G19" s="17" t="s">
        <v>142</v>
      </c>
      <c r="H19" s="57"/>
      <c r="I19" s="105" t="s">
        <v>150</v>
      </c>
      <c r="J19" s="105" t="s">
        <v>151</v>
      </c>
      <c r="K19" s="105" t="s">
        <v>142</v>
      </c>
      <c r="L19" s="102"/>
      <c r="M19" s="110" t="s">
        <v>150</v>
      </c>
      <c r="N19" s="110" t="s">
        <v>151</v>
      </c>
      <c r="O19" s="110" t="s">
        <v>142</v>
      </c>
      <c r="P19" s="102"/>
    </row>
    <row r="20" spans="2:15" ht="12">
      <c r="B20" s="12" t="s">
        <v>22</v>
      </c>
      <c r="C20" s="78">
        <v>200</v>
      </c>
      <c r="D20" s="78">
        <v>1.2</v>
      </c>
      <c r="E20" s="103">
        <f>100*(D20-1)</f>
        <v>19.999999999999996</v>
      </c>
      <c r="F20" s="33">
        <f>C20*D20</f>
        <v>240</v>
      </c>
      <c r="G20" s="33">
        <f>F20-C20</f>
        <v>40</v>
      </c>
      <c r="I20" s="106">
        <f>LN(C20)</f>
        <v>5.298317366548036</v>
      </c>
      <c r="J20" s="106">
        <f>LN(F20)</f>
        <v>5.480638923341991</v>
      </c>
      <c r="K20" s="106">
        <f>J20-I20</f>
        <v>0.1823215567939549</v>
      </c>
      <c r="M20" s="111">
        <f>100*LN(C20)</f>
        <v>529.8317366548036</v>
      </c>
      <c r="N20" s="111">
        <f>100*LN(F20)</f>
        <v>548.0638923341991</v>
      </c>
      <c r="O20" s="111">
        <f>N20-M20</f>
        <v>18.23215567939542</v>
      </c>
    </row>
    <row r="21" spans="2:15" ht="12">
      <c r="B21" s="93" t="s">
        <v>23</v>
      </c>
      <c r="C21" s="86">
        <v>300</v>
      </c>
      <c r="D21" s="101">
        <f>D20</f>
        <v>1.2</v>
      </c>
      <c r="E21" s="101">
        <f>100*(D21-1)</f>
        <v>19.999999999999996</v>
      </c>
      <c r="F21" s="66">
        <f>C21*D21</f>
        <v>360</v>
      </c>
      <c r="G21" s="66">
        <f>F21-C21</f>
        <v>60</v>
      </c>
      <c r="I21" s="106">
        <f>LN(C21)</f>
        <v>5.703782474656201</v>
      </c>
      <c r="J21" s="106">
        <f>LN(F21)</f>
        <v>5.886104031450156</v>
      </c>
      <c r="K21" s="106">
        <f>J21-I21</f>
        <v>0.1823215567939549</v>
      </c>
      <c r="M21" s="111">
        <f>100*LN(C21)</f>
        <v>570.3782474656201</v>
      </c>
      <c r="N21" s="111">
        <f>100*LN(F21)</f>
        <v>588.6104031450155</v>
      </c>
      <c r="O21" s="111">
        <f>N21-M21</f>
        <v>18.23215567939542</v>
      </c>
    </row>
    <row r="22" spans="2:15" ht="12">
      <c r="B22" s="93" t="s">
        <v>24</v>
      </c>
      <c r="C22" s="86">
        <v>350</v>
      </c>
      <c r="D22" s="101">
        <f>D21</f>
        <v>1.2</v>
      </c>
      <c r="E22" s="101">
        <f>100*(D22-1)</f>
        <v>19.999999999999996</v>
      </c>
      <c r="F22" s="66">
        <f>C22*D22</f>
        <v>420</v>
      </c>
      <c r="G22" s="66">
        <f>F22-C22</f>
        <v>70</v>
      </c>
      <c r="I22" s="106">
        <f>LN(C22)</f>
        <v>5.857933154483459</v>
      </c>
      <c r="J22" s="106">
        <f>LN(F22)</f>
        <v>6.040254711277414</v>
      </c>
      <c r="K22" s="106">
        <f>J22-I22</f>
        <v>0.1823215567939549</v>
      </c>
      <c r="M22" s="111">
        <f>100*LN(C22)</f>
        <v>585.7933154483459</v>
      </c>
      <c r="N22" s="111">
        <f>100*LN(F22)</f>
        <v>604.0254711277414</v>
      </c>
      <c r="O22" s="111">
        <f>N22-M22</f>
        <v>18.232155679395532</v>
      </c>
    </row>
    <row r="23" spans="2:15" ht="12">
      <c r="B23" s="93" t="s">
        <v>25</v>
      </c>
      <c r="C23" s="86">
        <v>400</v>
      </c>
      <c r="D23" s="101">
        <f>D22</f>
        <v>1.2</v>
      </c>
      <c r="E23" s="101">
        <f>100*(D23-1)</f>
        <v>19.999999999999996</v>
      </c>
      <c r="F23" s="66">
        <f>C23*D23</f>
        <v>480</v>
      </c>
      <c r="G23" s="66">
        <f>F23-C23</f>
        <v>80</v>
      </c>
      <c r="I23" s="106">
        <f>LN(C23)</f>
        <v>5.991464547107982</v>
      </c>
      <c r="J23" s="106">
        <f>LN(F23)</f>
        <v>6.173786103901937</v>
      </c>
      <c r="K23" s="106">
        <f>J23-I23</f>
        <v>0.1823215567939549</v>
      </c>
      <c r="M23" s="111">
        <f>100*LN(C23)</f>
        <v>599.1464547107981</v>
      </c>
      <c r="N23" s="111">
        <f>100*LN(F23)</f>
        <v>617.3786103901937</v>
      </c>
      <c r="O23" s="111">
        <f>N23-M23</f>
        <v>18.232155679395532</v>
      </c>
    </row>
    <row r="24" spans="2:11" ht="12">
      <c r="B24" s="2"/>
      <c r="C24" s="15"/>
      <c r="D24" s="96"/>
      <c r="E24" s="96"/>
      <c r="F24" s="3"/>
      <c r="G24" s="3"/>
      <c r="I24" s="95"/>
      <c r="J24" s="95"/>
      <c r="K24" s="95"/>
    </row>
    <row r="25" spans="2:15" ht="12">
      <c r="B25" s="93" t="s">
        <v>0</v>
      </c>
      <c r="C25" s="66">
        <f>AVERAGE(C20:C23)</f>
        <v>312.5</v>
      </c>
      <c r="F25" s="93" t="s">
        <v>155</v>
      </c>
      <c r="G25" s="94">
        <f>AVERAGE(G20:G23)</f>
        <v>62.5</v>
      </c>
      <c r="I25" s="21"/>
      <c r="J25" s="107" t="s">
        <v>154</v>
      </c>
      <c r="K25" s="108">
        <f>AVERAGE(K20:K23)</f>
        <v>0.1823215567939549</v>
      </c>
      <c r="M25" s="22"/>
      <c r="N25" s="112" t="s">
        <v>154</v>
      </c>
      <c r="O25" s="113">
        <f>AVERAGE(O20:O23)</f>
        <v>18.232155679395476</v>
      </c>
    </row>
    <row r="26" spans="6:15" ht="12">
      <c r="F26" s="93" t="s">
        <v>156</v>
      </c>
      <c r="G26" s="94">
        <f>(C25+G25)/C25</f>
        <v>1.2</v>
      </c>
      <c r="I26" s="21"/>
      <c r="J26" s="107" t="s">
        <v>152</v>
      </c>
      <c r="K26" s="109">
        <f>EXP(K25)</f>
        <v>1.2000000000000004</v>
      </c>
      <c r="M26" s="22"/>
      <c r="N26" s="112" t="s">
        <v>152</v>
      </c>
      <c r="O26" s="114">
        <f>EXP(O25/100)</f>
        <v>1.2000000000000002</v>
      </c>
    </row>
    <row r="27" spans="6:15" ht="12">
      <c r="F27" s="93" t="s">
        <v>157</v>
      </c>
      <c r="G27" s="104">
        <f>100*G25/C25</f>
        <v>20</v>
      </c>
      <c r="I27" s="21"/>
      <c r="J27" s="107" t="s">
        <v>153</v>
      </c>
      <c r="K27" s="109">
        <f>100*(EXP(K25)-1)</f>
        <v>20.00000000000004</v>
      </c>
      <c r="M27" s="22"/>
      <c r="N27" s="112" t="s">
        <v>153</v>
      </c>
      <c r="O27" s="114">
        <f>100*(EXP(O25/100)-1)</f>
        <v>20.000000000000018</v>
      </c>
    </row>
    <row r="29" spans="6:11" ht="12">
      <c r="F29" s="40" t="s">
        <v>162</v>
      </c>
      <c r="G29" s="42">
        <f>STDEV(G20:G23)</f>
        <v>17.07825127659933</v>
      </c>
      <c r="J29" s="40" t="s">
        <v>162</v>
      </c>
      <c r="K29" s="41">
        <f>STDEV(K20:K23)</f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0.140625" style="0" customWidth="1"/>
    <col min="4" max="4" width="9.7109375" style="0" customWidth="1"/>
    <col min="5" max="9" width="6.7109375" style="3" customWidth="1"/>
    <col min="10" max="10" width="7.28125" style="3" customWidth="1"/>
    <col min="11" max="13" width="6.7109375" style="3" customWidth="1"/>
    <col min="14" max="16" width="7.57421875" style="3" customWidth="1"/>
    <col min="17" max="17" width="6.7109375" style="3" customWidth="1"/>
  </cols>
  <sheetData>
    <row r="1" ht="12">
      <c r="B1" t="s">
        <v>168</v>
      </c>
    </row>
    <row r="2" ht="12">
      <c r="B2" s="325" t="s">
        <v>339</v>
      </c>
    </row>
    <row r="3" ht="12">
      <c r="B3" s="325" t="s">
        <v>341</v>
      </c>
    </row>
    <row r="4" spans="2:17" ht="12">
      <c r="B4" s="2" t="s">
        <v>110</v>
      </c>
      <c r="C4" s="18"/>
      <c r="D4" s="19"/>
      <c r="E4" s="11"/>
      <c r="F4" s="20"/>
      <c r="G4" s="21"/>
      <c r="H4" s="22"/>
      <c r="I4" s="23"/>
      <c r="J4" s="25"/>
      <c r="K4" s="133"/>
      <c r="L4"/>
      <c r="M4"/>
      <c r="N4"/>
      <c r="O4"/>
      <c r="P4"/>
      <c r="Q4"/>
    </row>
    <row r="5" spans="2:17" ht="12">
      <c r="B5" s="2"/>
      <c r="C5" s="24"/>
      <c r="D5" s="24"/>
      <c r="E5" s="24"/>
      <c r="F5" s="24"/>
      <c r="G5" s="24"/>
      <c r="H5" s="24"/>
      <c r="I5" s="24"/>
      <c r="J5" s="24"/>
      <c r="K5" s="24"/>
      <c r="L5"/>
      <c r="M5"/>
      <c r="N5"/>
      <c r="O5"/>
      <c r="P5"/>
      <c r="Q5"/>
    </row>
    <row r="6" spans="2:17" ht="12">
      <c r="B6" t="s">
        <v>196</v>
      </c>
      <c r="Q6"/>
    </row>
    <row r="7" spans="4:17" ht="12.75">
      <c r="D7" s="117" t="s">
        <v>104</v>
      </c>
      <c r="J7" s="119" t="s">
        <v>43</v>
      </c>
      <c r="O7"/>
      <c r="P7"/>
      <c r="Q7"/>
    </row>
    <row r="8" spans="4:21" ht="12">
      <c r="D8" s="18" t="s">
        <v>3</v>
      </c>
      <c r="J8" s="69"/>
      <c r="O8"/>
      <c r="P8"/>
      <c r="Q8"/>
      <c r="S8" s="3"/>
      <c r="T8" s="3"/>
      <c r="U8" s="3"/>
    </row>
    <row r="9" spans="4:21" ht="27.75" customHeight="1">
      <c r="D9" s="26" t="s">
        <v>9</v>
      </c>
      <c r="F9" s="5"/>
      <c r="G9" s="5"/>
      <c r="H9" s="5"/>
      <c r="J9" s="68"/>
      <c r="K9" s="5"/>
      <c r="L9" s="5"/>
      <c r="M9" s="5"/>
      <c r="N9" s="5"/>
      <c r="O9"/>
      <c r="P9"/>
      <c r="Q9"/>
      <c r="R9" s="5"/>
      <c r="S9" s="8"/>
      <c r="T9" s="5"/>
      <c r="U9" s="5"/>
    </row>
    <row r="10" spans="3:22" ht="12">
      <c r="C10" s="61" t="s">
        <v>4</v>
      </c>
      <c r="D10" s="85">
        <v>400</v>
      </c>
      <c r="E10" s="27"/>
      <c r="J10" s="69"/>
      <c r="Q10"/>
      <c r="S10" s="15"/>
      <c r="T10" s="3"/>
      <c r="U10" s="3"/>
      <c r="V10" s="3"/>
    </row>
    <row r="11" spans="3:22" ht="12">
      <c r="C11" s="61" t="s">
        <v>169</v>
      </c>
      <c r="D11" s="85">
        <v>30</v>
      </c>
      <c r="E11" s="27"/>
      <c r="J11" s="69"/>
      <c r="Q11"/>
      <c r="S11" s="15"/>
      <c r="T11" s="3"/>
      <c r="U11" s="3"/>
      <c r="V11" s="3"/>
    </row>
    <row r="12" spans="3:22" ht="12.75">
      <c r="C12" s="61" t="s">
        <v>173</v>
      </c>
      <c r="D12" s="115">
        <f>1+D11/100</f>
        <v>1.3</v>
      </c>
      <c r="E12" s="126" t="s">
        <v>16</v>
      </c>
      <c r="J12" s="120" t="s">
        <v>44</v>
      </c>
      <c r="Q12"/>
      <c r="S12" s="15"/>
      <c r="T12" s="3"/>
      <c r="U12" s="3"/>
      <c r="V12" s="3"/>
    </row>
    <row r="13" spans="3:22" ht="12">
      <c r="C13" s="61" t="s">
        <v>66</v>
      </c>
      <c r="D13" s="18"/>
      <c r="E13" s="85">
        <v>4</v>
      </c>
      <c r="F13" s="86">
        <v>3</v>
      </c>
      <c r="G13" s="86">
        <v>2</v>
      </c>
      <c r="H13" s="86">
        <v>2</v>
      </c>
      <c r="J13" s="69"/>
      <c r="Q13"/>
      <c r="R13" s="2"/>
      <c r="T13" s="15"/>
      <c r="U13" s="15"/>
      <c r="V13" s="15"/>
    </row>
    <row r="14" spans="3:22" ht="12">
      <c r="C14" s="61" t="s">
        <v>67</v>
      </c>
      <c r="D14" s="18"/>
      <c r="E14" s="85">
        <v>-5</v>
      </c>
      <c r="F14" s="86">
        <v>-2</v>
      </c>
      <c r="G14" s="86">
        <v>0</v>
      </c>
      <c r="H14" s="86">
        <v>0</v>
      </c>
      <c r="J14" s="69"/>
      <c r="Q14"/>
      <c r="R14" s="2"/>
      <c r="T14" s="15"/>
      <c r="U14" s="15"/>
      <c r="V14" s="15"/>
    </row>
    <row r="15" spans="3:17" ht="12">
      <c r="C15" s="61"/>
      <c r="D15" s="18"/>
      <c r="E15" s="26" t="s">
        <v>10</v>
      </c>
      <c r="F15" s="65" t="s">
        <v>11</v>
      </c>
      <c r="G15" s="65" t="s">
        <v>12</v>
      </c>
      <c r="H15" s="65" t="s">
        <v>13</v>
      </c>
      <c r="J15" s="68" t="s">
        <v>10</v>
      </c>
      <c r="K15" s="121" t="s">
        <v>11</v>
      </c>
      <c r="L15" s="121" t="s">
        <v>12</v>
      </c>
      <c r="M15" s="121" t="s">
        <v>13</v>
      </c>
      <c r="N15" s="41" t="s">
        <v>41</v>
      </c>
      <c r="O15" s="41" t="s">
        <v>103</v>
      </c>
      <c r="P15" s="326" t="s">
        <v>340</v>
      </c>
      <c r="Q15"/>
    </row>
    <row r="16" spans="3:17" ht="12">
      <c r="C16" s="62" t="s">
        <v>22</v>
      </c>
      <c r="D16" s="63">
        <f ca="1">EXP(LN($D$10)+LN($D$12)*NORMSINV(RAND()))</f>
        <v>587.0690774470833</v>
      </c>
      <c r="E16" s="63">
        <f ca="1">EXP(LN(D16)+LN(1+$E$13/100)*NORMSINV(RAND())+LN(1+$E$14/100))</f>
        <v>549.2906109799633</v>
      </c>
      <c r="F16" s="67">
        <f ca="1">EXP(LN(D16)+LN(1+$F$13/100)*NORMSINV(RAND())+LN(1+$F$14/100))</f>
        <v>568.6450841293354</v>
      </c>
      <c r="G16" s="67">
        <f aca="true" ca="1" t="shared" si="0" ref="G16:G21">EXP(LN(D16)+LN(1+$G$13/100)*NORMSINV(RAND())+LN(1+$G$14/100))</f>
        <v>566.3444085125697</v>
      </c>
      <c r="H16" s="67">
        <f ca="1">EXP(LN(D16)+LN(1+$H$13/100)*NORMSINV(RAND())+LN(1+$H$14/100))</f>
        <v>576.2265553869069</v>
      </c>
      <c r="I16" s="7"/>
      <c r="J16" s="36">
        <f>100*LN(E16)</f>
        <v>630.8627647502626</v>
      </c>
      <c r="K16" s="122">
        <f>100*LN(F16)</f>
        <v>634.325648578404</v>
      </c>
      <c r="L16" s="122">
        <f>100*LN(G16)</f>
        <v>633.9202388750047</v>
      </c>
      <c r="M16" s="122">
        <f>100*LN(H16)</f>
        <v>635.6500908688254</v>
      </c>
      <c r="N16" s="42">
        <f>K16-J16</f>
        <v>3.4628838281413437</v>
      </c>
      <c r="O16" s="42">
        <f>L16-K16</f>
        <v>-0.40540970339930027</v>
      </c>
      <c r="P16" s="42">
        <f>M16-L16</f>
        <v>1.7298519938207164</v>
      </c>
      <c r="Q16"/>
    </row>
    <row r="17" spans="3:17" ht="12">
      <c r="C17" s="118" t="s">
        <v>23</v>
      </c>
      <c r="D17" s="13">
        <f aca="true" ca="1" t="shared" si="1" ref="D17:D35">EXP(LN($D$10)+LN($D$12)*NORMSINV(RAND()))</f>
        <v>469.46377535957663</v>
      </c>
      <c r="E17" s="13">
        <f aca="true" ca="1" t="shared" si="2" ref="E17:E35">EXP(LN(D17)+LN(1+$E$13/100)*NORMSINV(RAND())+LN(1+$E$14/100))</f>
        <v>468.1145873158192</v>
      </c>
      <c r="F17" s="67">
        <f aca="true" ca="1" t="shared" si="3" ref="F17:F35">EXP(LN(D17)+LN(1+$F$13/100)*NORMSINV(RAND())+LN(1+$F$14/100))</f>
        <v>479.10787989618973</v>
      </c>
      <c r="G17" s="67">
        <f ca="1" t="shared" si="0"/>
        <v>482.9603943859634</v>
      </c>
      <c r="H17" s="67">
        <f aca="true" ca="1" t="shared" si="4" ref="H17:H35">EXP(LN(D17)+LN(1+$H$13/100)*NORMSINV(RAND())+LN(1+$H$14/100))</f>
        <v>470.52173836060604</v>
      </c>
      <c r="I17" s="7"/>
      <c r="J17" s="122">
        <f aca="true" t="shared" si="5" ref="J17:J35">100*LN(E17)</f>
        <v>614.8713110639999</v>
      </c>
      <c r="K17" s="122">
        <f aca="true" t="shared" si="6" ref="K17:K35">100*LN(F17)</f>
        <v>617.1925791042884</v>
      </c>
      <c r="L17" s="122">
        <f aca="true" t="shared" si="7" ref="L17:L35">100*LN(G17)</f>
        <v>617.9934651089551</v>
      </c>
      <c r="M17" s="122">
        <f aca="true" t="shared" si="8" ref="M17:M35">100*LN(H17)</f>
        <v>615.3842160637414</v>
      </c>
      <c r="N17" s="42">
        <f aca="true" t="shared" si="9" ref="N17:N35">K17-J17</f>
        <v>2.321268040288487</v>
      </c>
      <c r="O17" s="42">
        <f aca="true" t="shared" si="10" ref="O17:P35">L17-K17</f>
        <v>0.8008860046667223</v>
      </c>
      <c r="P17" s="42">
        <f t="shared" si="10"/>
        <v>-2.609249045213687</v>
      </c>
      <c r="Q17"/>
    </row>
    <row r="18" spans="3:17" ht="12">
      <c r="C18" s="118" t="s">
        <v>24</v>
      </c>
      <c r="D18" s="13">
        <f ca="1" t="shared" si="1"/>
        <v>620.5379414181921</v>
      </c>
      <c r="E18" s="13">
        <f ca="1" t="shared" si="2"/>
        <v>600.611649475349</v>
      </c>
      <c r="F18" s="67">
        <f ca="1" t="shared" si="3"/>
        <v>617.3428157355894</v>
      </c>
      <c r="G18" s="67">
        <f ca="1" t="shared" si="0"/>
        <v>618.1178560155541</v>
      </c>
      <c r="H18" s="67">
        <f ca="1" t="shared" si="4"/>
        <v>627.1871767875768</v>
      </c>
      <c r="I18" s="7"/>
      <c r="J18" s="122">
        <f t="shared" si="5"/>
        <v>639.7948551756974</v>
      </c>
      <c r="K18" s="122">
        <f t="shared" si="6"/>
        <v>642.5424486682881</v>
      </c>
      <c r="L18" s="122">
        <f t="shared" si="7"/>
        <v>642.667914480249</v>
      </c>
      <c r="M18" s="122">
        <f t="shared" si="8"/>
        <v>644.1245023654324</v>
      </c>
      <c r="N18" s="42">
        <f t="shared" si="9"/>
        <v>2.7475934925906813</v>
      </c>
      <c r="O18" s="42">
        <f t="shared" si="10"/>
        <v>0.12546581196090756</v>
      </c>
      <c r="P18" s="42">
        <f t="shared" si="10"/>
        <v>1.4565878851833531</v>
      </c>
      <c r="Q18"/>
    </row>
    <row r="19" spans="3:17" ht="12">
      <c r="C19" s="118" t="s">
        <v>25</v>
      </c>
      <c r="D19" s="13">
        <f ca="1" t="shared" si="1"/>
        <v>402.37250275535183</v>
      </c>
      <c r="E19" s="13">
        <f ca="1" t="shared" si="2"/>
        <v>368.83299914487947</v>
      </c>
      <c r="F19" s="67">
        <f ca="1" t="shared" si="3"/>
        <v>396.2371053431813</v>
      </c>
      <c r="G19" s="67">
        <f ca="1" t="shared" si="0"/>
        <v>394.8099223553961</v>
      </c>
      <c r="H19" s="67">
        <f ca="1" t="shared" si="4"/>
        <v>409.4962636077708</v>
      </c>
      <c r="I19" s="7"/>
      <c r="J19" s="122">
        <f t="shared" si="5"/>
        <v>591.0343964753572</v>
      </c>
      <c r="K19" s="122">
        <f t="shared" si="6"/>
        <v>598.201278294132</v>
      </c>
      <c r="L19" s="122">
        <f t="shared" si="7"/>
        <v>597.840443985596</v>
      </c>
      <c r="M19" s="122">
        <f t="shared" si="8"/>
        <v>601.492777897255</v>
      </c>
      <c r="N19" s="42">
        <f t="shared" si="9"/>
        <v>7.166881818774755</v>
      </c>
      <c r="O19" s="42">
        <f t="shared" si="10"/>
        <v>-0.3608343085359138</v>
      </c>
      <c r="P19" s="42">
        <f t="shared" si="10"/>
        <v>3.652333911658957</v>
      </c>
      <c r="Q19"/>
    </row>
    <row r="20" spans="3:17" ht="12">
      <c r="C20" s="118" t="s">
        <v>26</v>
      </c>
      <c r="D20" s="13">
        <f ca="1" t="shared" si="1"/>
        <v>297.06842395036233</v>
      </c>
      <c r="E20" s="13">
        <f ca="1" t="shared" si="2"/>
        <v>275.8294852220616</v>
      </c>
      <c r="F20" s="67">
        <f ca="1" t="shared" si="3"/>
        <v>281.86296407664645</v>
      </c>
      <c r="G20" s="67">
        <f ca="1" t="shared" si="0"/>
        <v>313.4531161536853</v>
      </c>
      <c r="H20" s="67">
        <f ca="1" t="shared" si="4"/>
        <v>299.26034621606675</v>
      </c>
      <c r="I20" s="7"/>
      <c r="J20" s="122">
        <f t="shared" si="5"/>
        <v>561.978286762922</v>
      </c>
      <c r="K20" s="122">
        <f t="shared" si="6"/>
        <v>564.1421009838939</v>
      </c>
      <c r="L20" s="122">
        <f t="shared" si="7"/>
        <v>574.7649799140287</v>
      </c>
      <c r="M20" s="122">
        <f t="shared" si="8"/>
        <v>570.1313917661864</v>
      </c>
      <c r="N20" s="42">
        <f t="shared" si="9"/>
        <v>2.163814220971858</v>
      </c>
      <c r="O20" s="42">
        <f t="shared" si="10"/>
        <v>10.622878930134789</v>
      </c>
      <c r="P20" s="42">
        <f t="shared" si="10"/>
        <v>-4.633588147842261</v>
      </c>
      <c r="Q20"/>
    </row>
    <row r="21" spans="3:17" ht="12">
      <c r="C21" s="118" t="s">
        <v>27</v>
      </c>
      <c r="D21" s="13">
        <f ca="1" t="shared" si="1"/>
        <v>348.92180044800483</v>
      </c>
      <c r="E21" s="13">
        <f ca="1" t="shared" si="2"/>
        <v>341.43239417456516</v>
      </c>
      <c r="F21" s="67">
        <f ca="1" t="shared" si="3"/>
        <v>341.060425933742</v>
      </c>
      <c r="G21" s="67">
        <f ca="1" t="shared" si="0"/>
        <v>358.59437145986783</v>
      </c>
      <c r="H21" s="67">
        <f ca="1" t="shared" si="4"/>
        <v>344.0822999970842</v>
      </c>
      <c r="I21" s="7"/>
      <c r="J21" s="122">
        <f t="shared" si="5"/>
        <v>583.3149692134743</v>
      </c>
      <c r="K21" s="122">
        <f t="shared" si="6"/>
        <v>583.2059663736806</v>
      </c>
      <c r="L21" s="122">
        <f t="shared" si="7"/>
        <v>588.2191865174643</v>
      </c>
      <c r="M21" s="122">
        <f t="shared" si="8"/>
        <v>584.0880872936644</v>
      </c>
      <c r="N21" s="42">
        <f t="shared" si="9"/>
        <v>-0.10900283979378855</v>
      </c>
      <c r="O21" s="42">
        <f t="shared" si="10"/>
        <v>5.013220143783769</v>
      </c>
      <c r="P21" s="42">
        <f t="shared" si="10"/>
        <v>-4.131099223799879</v>
      </c>
      <c r="Q21"/>
    </row>
    <row r="22" spans="3:17" ht="12">
      <c r="C22" s="118" t="s">
        <v>28</v>
      </c>
      <c r="D22" s="13">
        <f ca="1" t="shared" si="1"/>
        <v>258.12829477123773</v>
      </c>
      <c r="E22" s="13">
        <f ca="1" t="shared" si="2"/>
        <v>251.0785134038872</v>
      </c>
      <c r="F22" s="67">
        <f ca="1" t="shared" si="3"/>
        <v>253.46238923325765</v>
      </c>
      <c r="G22" s="67">
        <f aca="true" ca="1" t="shared" si="11" ref="G22:G35">EXP(LN(D22)+LN(1+$G$13/100)*NORMSINV(RAND())+LN(1+$G$14/100))</f>
        <v>255.79474145533965</v>
      </c>
      <c r="H22" s="67">
        <f ca="1" t="shared" si="4"/>
        <v>260.6078855471821</v>
      </c>
      <c r="I22" s="7"/>
      <c r="J22" s="122">
        <f t="shared" si="5"/>
        <v>552.5765692625237</v>
      </c>
      <c r="K22" s="122">
        <f t="shared" si="6"/>
        <v>553.5215446080166</v>
      </c>
      <c r="L22" s="122">
        <f t="shared" si="7"/>
        <v>554.4375331683008</v>
      </c>
      <c r="M22" s="122">
        <f t="shared" si="8"/>
        <v>556.3016923431647</v>
      </c>
      <c r="N22" s="42">
        <f t="shared" si="9"/>
        <v>0.944975345492935</v>
      </c>
      <c r="O22" s="42">
        <f t="shared" si="10"/>
        <v>0.9159885602841769</v>
      </c>
      <c r="P22" s="42">
        <f t="shared" si="10"/>
        <v>1.8641591748639712</v>
      </c>
      <c r="Q22"/>
    </row>
    <row r="23" spans="3:17" ht="12">
      <c r="C23" s="118" t="s">
        <v>29</v>
      </c>
      <c r="D23" s="13">
        <f ca="1" t="shared" si="1"/>
        <v>644.1580597408891</v>
      </c>
      <c r="E23" s="13">
        <f ca="1" t="shared" si="2"/>
        <v>590.8830546467859</v>
      </c>
      <c r="F23" s="67">
        <f ca="1" t="shared" si="3"/>
        <v>652.3322678533128</v>
      </c>
      <c r="G23" s="67">
        <f ca="1" t="shared" si="11"/>
        <v>633.0132752220723</v>
      </c>
      <c r="H23" s="67">
        <f ca="1" t="shared" si="4"/>
        <v>642.901451625848</v>
      </c>
      <c r="I23" s="7"/>
      <c r="J23" s="122">
        <f t="shared" si="5"/>
        <v>638.161812074765</v>
      </c>
      <c r="K23" s="122">
        <f t="shared" si="6"/>
        <v>648.0554045389862</v>
      </c>
      <c r="L23" s="122">
        <f t="shared" si="7"/>
        <v>645.0491393839075</v>
      </c>
      <c r="M23" s="122">
        <f t="shared" si="8"/>
        <v>646.5991449079215</v>
      </c>
      <c r="N23" s="42">
        <f t="shared" si="9"/>
        <v>9.893592464221229</v>
      </c>
      <c r="O23" s="42">
        <f t="shared" si="10"/>
        <v>-3.0062651550787223</v>
      </c>
      <c r="P23" s="42">
        <f t="shared" si="10"/>
        <v>1.5500055240140682</v>
      </c>
      <c r="Q23"/>
    </row>
    <row r="24" spans="3:17" ht="12">
      <c r="C24" s="118" t="s">
        <v>30</v>
      </c>
      <c r="D24" s="13">
        <f ca="1" t="shared" si="1"/>
        <v>340.13735195451864</v>
      </c>
      <c r="E24" s="13">
        <f ca="1" t="shared" si="2"/>
        <v>343.5972081815898</v>
      </c>
      <c r="F24" s="67">
        <f ca="1" t="shared" si="3"/>
        <v>328.01816888622216</v>
      </c>
      <c r="G24" s="67">
        <f ca="1" t="shared" si="11"/>
        <v>345.6667699407445</v>
      </c>
      <c r="H24" s="67">
        <f ca="1" t="shared" si="4"/>
        <v>333.0957769062237</v>
      </c>
      <c r="I24" s="7"/>
      <c r="J24" s="122">
        <f t="shared" si="5"/>
        <v>583.9470064877992</v>
      </c>
      <c r="K24" s="122">
        <f t="shared" si="6"/>
        <v>579.3068999795811</v>
      </c>
      <c r="L24" s="122">
        <f t="shared" si="7"/>
        <v>584.5475218329196</v>
      </c>
      <c r="M24" s="122">
        <f t="shared" si="8"/>
        <v>580.8430066963227</v>
      </c>
      <c r="N24" s="42">
        <f t="shared" si="9"/>
        <v>-4.640106508218082</v>
      </c>
      <c r="O24" s="42">
        <f t="shared" si="10"/>
        <v>5.240621853338553</v>
      </c>
      <c r="P24" s="42">
        <f t="shared" si="10"/>
        <v>-3.7045151365969105</v>
      </c>
      <c r="Q24"/>
    </row>
    <row r="25" spans="3:17" ht="12">
      <c r="C25" s="118" t="s">
        <v>31</v>
      </c>
      <c r="D25" s="13">
        <f ca="1" t="shared" si="1"/>
        <v>537.1869753062391</v>
      </c>
      <c r="E25" s="13">
        <f ca="1" t="shared" si="2"/>
        <v>511.30539763932273</v>
      </c>
      <c r="F25" s="67">
        <f ca="1" t="shared" si="3"/>
        <v>509.0921546649284</v>
      </c>
      <c r="G25" s="67">
        <f ca="1" t="shared" si="11"/>
        <v>537.918504558051</v>
      </c>
      <c r="H25" s="67">
        <f ca="1" t="shared" si="4"/>
        <v>538.3416070991751</v>
      </c>
      <c r="I25" s="7"/>
      <c r="J25" s="122">
        <f t="shared" si="5"/>
        <v>623.6967058727519</v>
      </c>
      <c r="K25" s="122">
        <f t="shared" si="6"/>
        <v>623.262905058513</v>
      </c>
      <c r="L25" s="122">
        <f t="shared" si="7"/>
        <v>628.7707070171122</v>
      </c>
      <c r="M25" s="122">
        <f t="shared" si="8"/>
        <v>628.8493316095016</v>
      </c>
      <c r="N25" s="42">
        <f t="shared" si="9"/>
        <v>-0.43380081423890715</v>
      </c>
      <c r="O25" s="42">
        <f t="shared" si="10"/>
        <v>5.507801958599202</v>
      </c>
      <c r="P25" s="42">
        <f t="shared" si="10"/>
        <v>0.07862459238947395</v>
      </c>
      <c r="Q25"/>
    </row>
    <row r="26" spans="3:17" ht="12">
      <c r="C26" s="118" t="s">
        <v>32</v>
      </c>
      <c r="D26" s="13">
        <f ca="1" t="shared" si="1"/>
        <v>339.84165186226124</v>
      </c>
      <c r="E26" s="13">
        <f ca="1" t="shared" si="2"/>
        <v>312.0435257466448</v>
      </c>
      <c r="F26" s="67">
        <f ca="1" t="shared" si="3"/>
        <v>323.9517940453076</v>
      </c>
      <c r="G26" s="67">
        <f ca="1" t="shared" si="11"/>
        <v>339.7746280206429</v>
      </c>
      <c r="H26" s="67">
        <f ca="1" t="shared" si="4"/>
        <v>345.3058876155036</v>
      </c>
      <c r="I26" s="7"/>
      <c r="J26" s="122">
        <f t="shared" si="5"/>
        <v>574.3142683677702</v>
      </c>
      <c r="K26" s="122">
        <f t="shared" si="6"/>
        <v>578.0594720912142</v>
      </c>
      <c r="L26" s="122">
        <f t="shared" si="7"/>
        <v>582.8282539059392</v>
      </c>
      <c r="M26" s="122">
        <f t="shared" si="8"/>
        <v>584.4430654976052</v>
      </c>
      <c r="N26" s="42">
        <f t="shared" si="9"/>
        <v>3.7452037234439786</v>
      </c>
      <c r="O26" s="42">
        <f t="shared" si="10"/>
        <v>4.768781814725003</v>
      </c>
      <c r="P26" s="42">
        <f t="shared" si="10"/>
        <v>1.6148115916660117</v>
      </c>
      <c r="Q26"/>
    </row>
    <row r="27" spans="3:17" ht="12">
      <c r="C27" s="118" t="s">
        <v>33</v>
      </c>
      <c r="D27" s="13">
        <f ca="1" t="shared" si="1"/>
        <v>410.65332186711214</v>
      </c>
      <c r="E27" s="13">
        <f ca="1" t="shared" si="2"/>
        <v>393.822950125704</v>
      </c>
      <c r="F27" s="67">
        <f ca="1" t="shared" si="3"/>
        <v>403.565713791514</v>
      </c>
      <c r="G27" s="67">
        <f ca="1" t="shared" si="11"/>
        <v>404.2171785787173</v>
      </c>
      <c r="H27" s="67">
        <f ca="1" t="shared" si="4"/>
        <v>400.98736728278067</v>
      </c>
      <c r="I27" s="7"/>
      <c r="J27" s="122">
        <f t="shared" si="5"/>
        <v>597.5901443139965</v>
      </c>
      <c r="K27" s="122">
        <f t="shared" si="6"/>
        <v>600.0339333908364</v>
      </c>
      <c r="L27" s="122">
        <f t="shared" si="7"/>
        <v>600.1952304261162</v>
      </c>
      <c r="M27" s="122">
        <f t="shared" si="8"/>
        <v>599.3929923774879</v>
      </c>
      <c r="N27" s="42">
        <f t="shared" si="9"/>
        <v>2.4437890768399484</v>
      </c>
      <c r="O27" s="42">
        <f t="shared" si="10"/>
        <v>0.1612970352797447</v>
      </c>
      <c r="P27" s="42">
        <f t="shared" si="10"/>
        <v>-0.8022380486282827</v>
      </c>
      <c r="Q27"/>
    </row>
    <row r="28" spans="3:17" ht="12">
      <c r="C28" s="118" t="s">
        <v>34</v>
      </c>
      <c r="D28" s="13">
        <f ca="1" t="shared" si="1"/>
        <v>435.6615178559353</v>
      </c>
      <c r="E28" s="13">
        <f ca="1" t="shared" si="2"/>
        <v>433.09317753003984</v>
      </c>
      <c r="F28" s="67">
        <f ca="1" t="shared" si="3"/>
        <v>418.7153951394045</v>
      </c>
      <c r="G28" s="67">
        <f ca="1" t="shared" si="11"/>
        <v>435.6897366059844</v>
      </c>
      <c r="H28" s="67">
        <f ca="1" t="shared" si="4"/>
        <v>429.0555758135833</v>
      </c>
      <c r="I28" s="7"/>
      <c r="J28" s="122">
        <f t="shared" si="5"/>
        <v>607.0952895452867</v>
      </c>
      <c r="K28" s="122">
        <f t="shared" si="6"/>
        <v>603.7191441251466</v>
      </c>
      <c r="L28" s="122">
        <f t="shared" si="7"/>
        <v>607.6930376743088</v>
      </c>
      <c r="M28" s="122">
        <f t="shared" si="8"/>
        <v>606.1586457888493</v>
      </c>
      <c r="N28" s="42">
        <f t="shared" si="9"/>
        <v>-3.3761454201401193</v>
      </c>
      <c r="O28" s="42">
        <f t="shared" si="10"/>
        <v>3.9738935491621987</v>
      </c>
      <c r="P28" s="42">
        <f t="shared" si="10"/>
        <v>-1.534391885459513</v>
      </c>
      <c r="Q28"/>
    </row>
    <row r="29" spans="3:17" ht="12">
      <c r="C29" s="118" t="s">
        <v>35</v>
      </c>
      <c r="D29" s="13">
        <f ca="1" t="shared" si="1"/>
        <v>378.8350517357551</v>
      </c>
      <c r="E29" s="13">
        <f ca="1" t="shared" si="2"/>
        <v>372.5371161483231</v>
      </c>
      <c r="F29" s="67">
        <f ca="1" t="shared" si="3"/>
        <v>372.09236957719304</v>
      </c>
      <c r="G29" s="67">
        <f ca="1" t="shared" si="11"/>
        <v>371.41343094648175</v>
      </c>
      <c r="H29" s="67">
        <f ca="1" t="shared" si="4"/>
        <v>380.46940021972887</v>
      </c>
      <c r="I29" s="7"/>
      <c r="J29" s="122">
        <f t="shared" si="5"/>
        <v>592.0336673522452</v>
      </c>
      <c r="K29" s="122">
        <f t="shared" si="6"/>
        <v>591.9142128765519</v>
      </c>
      <c r="L29" s="122">
        <f t="shared" si="7"/>
        <v>591.7315811287037</v>
      </c>
      <c r="M29" s="122">
        <f t="shared" si="8"/>
        <v>594.1405754146016</v>
      </c>
      <c r="N29" s="42">
        <f t="shared" si="9"/>
        <v>-0.11945447569326006</v>
      </c>
      <c r="O29" s="42">
        <f t="shared" si="10"/>
        <v>-0.18263174784817693</v>
      </c>
      <c r="P29" s="42">
        <f t="shared" si="10"/>
        <v>2.4089942858978475</v>
      </c>
      <c r="Q29"/>
    </row>
    <row r="30" spans="3:17" ht="12">
      <c r="C30" s="118" t="s">
        <v>36</v>
      </c>
      <c r="D30" s="13">
        <f ca="1" t="shared" si="1"/>
        <v>288.1493755241922</v>
      </c>
      <c r="E30" s="13">
        <f ca="1" t="shared" si="2"/>
        <v>273.0421571280415</v>
      </c>
      <c r="F30" s="67">
        <f ca="1" t="shared" si="3"/>
        <v>298.8747757558446</v>
      </c>
      <c r="G30" s="67">
        <f ca="1" t="shared" si="11"/>
        <v>287.99593267310445</v>
      </c>
      <c r="H30" s="67">
        <f ca="1" t="shared" si="4"/>
        <v>291.7108635603027</v>
      </c>
      <c r="I30" s="7"/>
      <c r="J30" s="122">
        <f t="shared" si="5"/>
        <v>560.9626204977592</v>
      </c>
      <c r="K30" s="122">
        <f t="shared" si="6"/>
        <v>570.0024675484086</v>
      </c>
      <c r="L30" s="122">
        <f t="shared" si="7"/>
        <v>566.2946357373388</v>
      </c>
      <c r="M30" s="122">
        <f t="shared" si="8"/>
        <v>567.5763118416412</v>
      </c>
      <c r="N30" s="42">
        <f t="shared" si="9"/>
        <v>9.039847050649428</v>
      </c>
      <c r="O30" s="42">
        <f t="shared" si="10"/>
        <v>-3.707831811069809</v>
      </c>
      <c r="P30" s="42">
        <f t="shared" si="10"/>
        <v>1.2816761043023916</v>
      </c>
      <c r="Q30"/>
    </row>
    <row r="31" spans="3:17" ht="12">
      <c r="C31" s="118" t="s">
        <v>37</v>
      </c>
      <c r="D31" s="13">
        <f ca="1" t="shared" si="1"/>
        <v>425.1161515958095</v>
      </c>
      <c r="E31" s="13">
        <f ca="1" t="shared" si="2"/>
        <v>401.15581873728127</v>
      </c>
      <c r="F31" s="67">
        <f ca="1" t="shared" si="3"/>
        <v>414.23373393198597</v>
      </c>
      <c r="G31" s="67">
        <f ca="1" t="shared" si="11"/>
        <v>429.2306851152171</v>
      </c>
      <c r="H31" s="67">
        <f ca="1" t="shared" si="4"/>
        <v>400.06369821752793</v>
      </c>
      <c r="I31" s="7"/>
      <c r="J31" s="122">
        <f t="shared" si="5"/>
        <v>599.4349927235389</v>
      </c>
      <c r="K31" s="122">
        <f t="shared" si="6"/>
        <v>602.6430389227912</v>
      </c>
      <c r="L31" s="122">
        <f t="shared" si="7"/>
        <v>606.1994501945668</v>
      </c>
      <c r="M31" s="122">
        <f t="shared" si="8"/>
        <v>599.1623779973576</v>
      </c>
      <c r="N31" s="42">
        <f t="shared" si="9"/>
        <v>3.208046199252294</v>
      </c>
      <c r="O31" s="42">
        <f t="shared" si="10"/>
        <v>3.5564112717755734</v>
      </c>
      <c r="P31" s="42">
        <f t="shared" si="10"/>
        <v>-7.037072197209227</v>
      </c>
      <c r="Q31"/>
    </row>
    <row r="32" spans="3:17" ht="12">
      <c r="C32" s="118" t="s">
        <v>38</v>
      </c>
      <c r="D32" s="13">
        <f ca="1" t="shared" si="1"/>
        <v>389.14783115542195</v>
      </c>
      <c r="E32" s="13">
        <f ca="1" t="shared" si="2"/>
        <v>346.5046288966161</v>
      </c>
      <c r="F32" s="67">
        <f ca="1" t="shared" si="3"/>
        <v>396.76048695409565</v>
      </c>
      <c r="G32" s="67">
        <f ca="1" t="shared" si="11"/>
        <v>385.7988047882187</v>
      </c>
      <c r="H32" s="67">
        <f ca="1" t="shared" si="4"/>
        <v>392.48308989777377</v>
      </c>
      <c r="I32" s="7"/>
      <c r="J32" s="122">
        <f t="shared" si="5"/>
        <v>584.789617754972</v>
      </c>
      <c r="K32" s="122">
        <f t="shared" si="6"/>
        <v>598.3332791203625</v>
      </c>
      <c r="L32" s="122">
        <f t="shared" si="7"/>
        <v>595.5316002458065</v>
      </c>
      <c r="M32" s="122">
        <f t="shared" si="8"/>
        <v>597.2493453231365</v>
      </c>
      <c r="N32" s="42">
        <f t="shared" si="9"/>
        <v>13.543661365390449</v>
      </c>
      <c r="O32" s="42">
        <f t="shared" si="10"/>
        <v>-2.8016788745559325</v>
      </c>
      <c r="P32" s="42">
        <f t="shared" si="10"/>
        <v>1.717745077329937</v>
      </c>
      <c r="Q32"/>
    </row>
    <row r="33" spans="3:17" ht="12">
      <c r="C33" s="118" t="s">
        <v>42</v>
      </c>
      <c r="D33" s="13">
        <f ca="1" t="shared" si="1"/>
        <v>387.6675912675666</v>
      </c>
      <c r="E33" s="13">
        <f ca="1" t="shared" si="2"/>
        <v>343.1406321363223</v>
      </c>
      <c r="F33" s="67">
        <f ca="1" t="shared" si="3"/>
        <v>369.6612931567214</v>
      </c>
      <c r="G33" s="67">
        <f ca="1" t="shared" si="11"/>
        <v>397.5324269366806</v>
      </c>
      <c r="H33" s="67">
        <f ca="1" t="shared" si="4"/>
        <v>395.4964084739029</v>
      </c>
      <c r="I33" s="7"/>
      <c r="J33" s="122">
        <f t="shared" si="5"/>
        <v>583.8140369364698</v>
      </c>
      <c r="K33" s="122">
        <f t="shared" si="6"/>
        <v>591.2587162481174</v>
      </c>
      <c r="L33" s="122">
        <f t="shared" si="7"/>
        <v>598.5276507966345</v>
      </c>
      <c r="M33" s="122">
        <f t="shared" si="8"/>
        <v>598.0141706190251</v>
      </c>
      <c r="N33" s="42">
        <f t="shared" si="9"/>
        <v>7.444679311647519</v>
      </c>
      <c r="O33" s="42">
        <f t="shared" si="10"/>
        <v>7.268934548517109</v>
      </c>
      <c r="P33" s="42">
        <f t="shared" si="10"/>
        <v>-0.5134801776093809</v>
      </c>
      <c r="Q33"/>
    </row>
    <row r="34" spans="3:17" ht="12">
      <c r="C34" s="118" t="s">
        <v>39</v>
      </c>
      <c r="D34" s="13">
        <f ca="1" t="shared" si="1"/>
        <v>264.69548071391245</v>
      </c>
      <c r="E34" s="13">
        <f ca="1" t="shared" si="2"/>
        <v>245.10429579499223</v>
      </c>
      <c r="F34" s="67">
        <f ca="1" t="shared" si="3"/>
        <v>274.7130926486517</v>
      </c>
      <c r="G34" s="67">
        <f ca="1" t="shared" si="11"/>
        <v>270.0949168982297</v>
      </c>
      <c r="H34" s="67">
        <f ca="1" t="shared" si="4"/>
        <v>259.251984979258</v>
      </c>
      <c r="I34" s="7"/>
      <c r="J34" s="122">
        <f t="shared" si="5"/>
        <v>550.1683817083831</v>
      </c>
      <c r="K34" s="122">
        <f t="shared" si="6"/>
        <v>561.572725359141</v>
      </c>
      <c r="L34" s="122">
        <f t="shared" si="7"/>
        <v>559.8773441288754</v>
      </c>
      <c r="M34" s="122">
        <f t="shared" si="8"/>
        <v>555.7800503702342</v>
      </c>
      <c r="N34" s="42">
        <f t="shared" si="9"/>
        <v>11.404343650757937</v>
      </c>
      <c r="O34" s="42">
        <f t="shared" si="10"/>
        <v>-1.6953812302656388</v>
      </c>
      <c r="P34" s="42">
        <f t="shared" si="10"/>
        <v>-4.097293758641172</v>
      </c>
      <c r="Q34"/>
    </row>
    <row r="35" spans="3:17" ht="12">
      <c r="C35" s="11" t="s">
        <v>45</v>
      </c>
      <c r="D35" s="13">
        <f ca="1" t="shared" si="1"/>
        <v>511.1265281891379</v>
      </c>
      <c r="E35" s="13">
        <f ca="1" t="shared" si="2"/>
        <v>497.9786733335658</v>
      </c>
      <c r="F35" s="67">
        <f ca="1" t="shared" si="3"/>
        <v>501.05489832578826</v>
      </c>
      <c r="G35" s="67">
        <f ca="1" t="shared" si="11"/>
        <v>512.3158100801836</v>
      </c>
      <c r="H35" s="67">
        <f ca="1" t="shared" si="4"/>
        <v>492.14696857020346</v>
      </c>
      <c r="I35" s="7"/>
      <c r="J35" s="122">
        <f t="shared" si="5"/>
        <v>621.0557251476258</v>
      </c>
      <c r="K35" s="122">
        <f t="shared" si="6"/>
        <v>621.6715672578273</v>
      </c>
      <c r="L35" s="122">
        <f t="shared" si="7"/>
        <v>623.8941251449219</v>
      </c>
      <c r="M35" s="122">
        <f t="shared" si="8"/>
        <v>619.8777388491491</v>
      </c>
      <c r="N35" s="42">
        <f t="shared" si="9"/>
        <v>0.61584211020147</v>
      </c>
      <c r="O35" s="42">
        <f t="shared" si="10"/>
        <v>2.222557887094581</v>
      </c>
      <c r="P35" s="42">
        <f t="shared" si="10"/>
        <v>-4.016386295772804</v>
      </c>
      <c r="Q35"/>
    </row>
    <row r="36" spans="4:17" ht="12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/>
    </row>
    <row r="37" spans="6:17" ht="12">
      <c r="F37" s="7"/>
      <c r="G37" s="7"/>
      <c r="H37" s="7"/>
      <c r="I37" s="60" t="s">
        <v>1</v>
      </c>
      <c r="J37" s="125">
        <f aca="true" t="shared" si="12" ref="J37:P37">COUNT(J16:J35)</f>
        <v>20</v>
      </c>
      <c r="K37" s="125">
        <f t="shared" si="12"/>
        <v>20</v>
      </c>
      <c r="L37" s="125">
        <f t="shared" si="12"/>
        <v>20</v>
      </c>
      <c r="M37" s="125">
        <f t="shared" si="12"/>
        <v>20</v>
      </c>
      <c r="N37" s="125">
        <f t="shared" si="12"/>
        <v>20</v>
      </c>
      <c r="O37" s="125">
        <f t="shared" si="12"/>
        <v>20</v>
      </c>
      <c r="P37" s="125">
        <f t="shared" si="12"/>
        <v>20</v>
      </c>
      <c r="Q37"/>
    </row>
    <row r="38" spans="8:17" ht="12">
      <c r="H38" s="6"/>
      <c r="I38" s="60" t="s">
        <v>4</v>
      </c>
      <c r="J38" s="123">
        <f aca="true" t="shared" si="13" ref="J38:P38">AVERAGE(J16:J35)</f>
        <v>594.5748710743801</v>
      </c>
      <c r="K38" s="123">
        <f t="shared" si="13"/>
        <v>598.1482666564092</v>
      </c>
      <c r="L38" s="123">
        <f t="shared" si="13"/>
        <v>600.0492019833373</v>
      </c>
      <c r="M38" s="123">
        <f t="shared" si="13"/>
        <v>599.2629757945551</v>
      </c>
      <c r="N38" s="123">
        <f t="shared" si="13"/>
        <v>3.5733955820290078</v>
      </c>
      <c r="O38" s="123">
        <f t="shared" si="13"/>
        <v>1.9009353269284417</v>
      </c>
      <c r="P38" s="123">
        <f t="shared" si="13"/>
        <v>-0.7862261887823194</v>
      </c>
      <c r="Q38"/>
    </row>
    <row r="39" spans="4:17" ht="12">
      <c r="D39" s="131" t="s">
        <v>2</v>
      </c>
      <c r="E39" s="132">
        <f>STDEV(E16:E35)</f>
        <v>109.1310673199279</v>
      </c>
      <c r="F39" s="132">
        <f>STDEV(F16:F35)</f>
        <v>113.27353985904942</v>
      </c>
      <c r="G39" s="132">
        <f>STDEV(G16:G35)</f>
        <v>110.37066666649123</v>
      </c>
      <c r="H39" s="6"/>
      <c r="I39" s="60" t="s">
        <v>2</v>
      </c>
      <c r="J39" s="123">
        <f aca="true" t="shared" si="14" ref="J39:P39">STDEV(J16:J35)</f>
        <v>27.35834155351687</v>
      </c>
      <c r="K39" s="123">
        <f t="shared" si="14"/>
        <v>26.87011063057282</v>
      </c>
      <c r="L39" s="123">
        <f t="shared" si="14"/>
        <v>26.2044952505926</v>
      </c>
      <c r="M39" s="123">
        <f t="shared" si="14"/>
        <v>26.754480399579705</v>
      </c>
      <c r="N39" s="123">
        <f t="shared" si="14"/>
        <v>4.805770093454828</v>
      </c>
      <c r="O39" s="123">
        <f t="shared" si="14"/>
        <v>3.754468692751573</v>
      </c>
      <c r="P39" s="123">
        <f t="shared" si="14"/>
        <v>2.9889924914997263</v>
      </c>
      <c r="Q39"/>
    </row>
    <row r="40" spans="8:17" ht="12.75">
      <c r="H40" s="6"/>
      <c r="I40"/>
      <c r="J40" s="128" t="s">
        <v>170</v>
      </c>
      <c r="K40" s="6"/>
      <c r="L40" s="6"/>
      <c r="M40" s="6"/>
      <c r="N40" s="6"/>
      <c r="O40" s="6"/>
      <c r="P40" s="6"/>
      <c r="Q40"/>
    </row>
    <row r="41" spans="3:17" ht="12">
      <c r="C41" s="2"/>
      <c r="D41" s="131" t="s">
        <v>4</v>
      </c>
      <c r="E41" s="132">
        <f>AVERAGE(E16:E35)</f>
        <v>395.96994378808773</v>
      </c>
      <c r="F41" s="132">
        <f>AVERAGE(F16:F35)</f>
        <v>410.0392404539456</v>
      </c>
      <c r="G41" s="132">
        <f>AVERAGE(G16:G35)</f>
        <v>417.0368455351352</v>
      </c>
      <c r="H41" s="6"/>
      <c r="I41" s="60" t="s">
        <v>4</v>
      </c>
      <c r="J41" s="81">
        <f>EXP(J38/100)</f>
        <v>382.12535558001247</v>
      </c>
      <c r="K41" s="81">
        <f>EXP(K38/100)</f>
        <v>396.0271092304808</v>
      </c>
      <c r="L41" s="81">
        <f>EXP(L38/100)</f>
        <v>403.62733730022734</v>
      </c>
      <c r="M41" s="81">
        <f>EXP(M38/100)</f>
        <v>400.4663559837862</v>
      </c>
      <c r="N41"/>
      <c r="O41"/>
      <c r="P41"/>
      <c r="Q41"/>
    </row>
    <row r="42" spans="4:17" ht="12.75">
      <c r="D42" s="134" t="s">
        <v>171</v>
      </c>
      <c r="E42" s="135">
        <f>E39/E41*100</f>
        <v>27.560442157784543</v>
      </c>
      <c r="F42" s="135">
        <f>F39/F41*100</f>
        <v>27.625048698667655</v>
      </c>
      <c r="G42" s="135">
        <f>G39/G41*100</f>
        <v>26.465447321534697</v>
      </c>
      <c r="H42" s="16"/>
      <c r="I42" s="60" t="s">
        <v>171</v>
      </c>
      <c r="J42" s="81">
        <f>100*(EXP(J39/100)-1)</f>
        <v>31.4667018291259</v>
      </c>
      <c r="K42" s="81">
        <f>100*(EXP(K39/100)-1)</f>
        <v>30.826405072695827</v>
      </c>
      <c r="L42" s="81">
        <f>100*(EXP(L39/100)-1)</f>
        <v>29.95849607169958</v>
      </c>
      <c r="M42" s="81">
        <f>100*(EXP(M39/100)-1)</f>
        <v>30.67521762435339</v>
      </c>
      <c r="N42"/>
      <c r="O42"/>
      <c r="P42"/>
      <c r="Q42"/>
    </row>
    <row r="43" spans="4:18" ht="12.75">
      <c r="D43" t="s">
        <v>172</v>
      </c>
      <c r="H43" s="16"/>
      <c r="I43" s="16"/>
      <c r="J43" s="16"/>
      <c r="K43" s="16"/>
      <c r="L43" s="16"/>
      <c r="M43" s="16"/>
      <c r="N43" s="16"/>
      <c r="O43" s="16"/>
      <c r="P43" s="16"/>
      <c r="R43" s="3"/>
    </row>
    <row r="44" spans="4:18" ht="12">
      <c r="D44" s="8"/>
      <c r="J44" s="129"/>
      <c r="K44" s="129"/>
      <c r="M44" s="60" t="s">
        <v>7</v>
      </c>
      <c r="N44" s="124">
        <f>100*EXP(N38/100)-100</f>
        <v>3.6380086920343473</v>
      </c>
      <c r="O44" s="124">
        <f>100*EXP(O38/100)-100</f>
        <v>1.9191181342398238</v>
      </c>
      <c r="P44" s="124">
        <f>100*EXP(P38/100)-100</f>
        <v>-0.7831435149029176</v>
      </c>
      <c r="R44" s="3"/>
    </row>
    <row r="45" spans="10:18" ht="12.75">
      <c r="J45" s="130"/>
      <c r="K45" s="130"/>
      <c r="M45" s="60" t="s">
        <v>6</v>
      </c>
      <c r="N45" s="124">
        <f>100*EXP(N39/100/SQRT(2))-100</f>
        <v>3.4565908041544304</v>
      </c>
      <c r="O45" s="124">
        <f>100*EXP(O39/100/SQRT(2))-100</f>
        <v>2.690364293612177</v>
      </c>
      <c r="P45" s="124">
        <f>100*EXP(P39/100/SQRT(2))-100</f>
        <v>2.136030239062009</v>
      </c>
      <c r="R45" s="3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3" max="3" width="9.00390625" style="0" customWidth="1"/>
    <col min="4" max="4" width="10.57421875" style="0" customWidth="1"/>
    <col min="5" max="5" width="11.00390625" style="3" customWidth="1"/>
    <col min="6" max="6" width="9.7109375" style="3" customWidth="1"/>
    <col min="13" max="14" width="9.7109375" style="0" customWidth="1"/>
  </cols>
  <sheetData>
    <row r="1" ht="12">
      <c r="B1" t="s">
        <v>333</v>
      </c>
    </row>
    <row r="2" ht="12">
      <c r="B2" t="s">
        <v>335</v>
      </c>
    </row>
    <row r="3" ht="12">
      <c r="B3" t="s">
        <v>334</v>
      </c>
    </row>
    <row r="4" spans="2:14" ht="12">
      <c r="B4" t="s">
        <v>190</v>
      </c>
      <c r="M4" s="3"/>
      <c r="N4" s="3"/>
    </row>
    <row r="5" spans="2:14" ht="12">
      <c r="B5" t="s">
        <v>328</v>
      </c>
      <c r="M5" s="3"/>
      <c r="N5" s="3"/>
    </row>
    <row r="6" spans="2:14" ht="12">
      <c r="B6" t="s">
        <v>331</v>
      </c>
      <c r="M6" s="3"/>
      <c r="N6" s="3"/>
    </row>
    <row r="7" spans="2:14" ht="12">
      <c r="B7" t="s">
        <v>329</v>
      </c>
      <c r="M7" s="3"/>
      <c r="N7" s="3"/>
    </row>
    <row r="8" spans="2:14" ht="12">
      <c r="B8" t="s">
        <v>332</v>
      </c>
      <c r="M8" s="3"/>
      <c r="N8" s="3"/>
    </row>
    <row r="9" spans="2:14" ht="12">
      <c r="B9" t="s">
        <v>330</v>
      </c>
      <c r="M9" s="3"/>
      <c r="N9" s="3"/>
    </row>
    <row r="10" spans="2:11" ht="12">
      <c r="B10" s="2" t="s">
        <v>110</v>
      </c>
      <c r="C10" s="18"/>
      <c r="D10" s="19"/>
      <c r="E10" s="11"/>
      <c r="F10" s="20"/>
      <c r="G10" s="21"/>
      <c r="H10" s="22"/>
      <c r="I10" s="23"/>
      <c r="J10" s="25"/>
      <c r="K10" s="24"/>
    </row>
    <row r="11" spans="13:14" ht="12">
      <c r="M11" s="3"/>
      <c r="N11" s="3"/>
    </row>
    <row r="12" spans="2:14" ht="12.75">
      <c r="B12" s="14" t="s">
        <v>181</v>
      </c>
      <c r="C12" s="10"/>
      <c r="D12" s="10"/>
      <c r="K12" s="9"/>
      <c r="L12" s="9"/>
      <c r="M12" s="3"/>
      <c r="N12" s="3"/>
    </row>
    <row r="13" spans="2:6" ht="27.75" customHeight="1">
      <c r="B13" s="5"/>
      <c r="C13" s="26"/>
      <c r="D13" s="26" t="s">
        <v>109</v>
      </c>
      <c r="E13" s="32" t="s">
        <v>108</v>
      </c>
      <c r="F13"/>
    </row>
    <row r="14" spans="3:6" ht="12">
      <c r="C14" s="61" t="s">
        <v>4</v>
      </c>
      <c r="D14" s="85">
        <v>10</v>
      </c>
      <c r="E14" s="33"/>
      <c r="F14"/>
    </row>
    <row r="15" spans="3:6" ht="12">
      <c r="C15" s="61" t="s">
        <v>2</v>
      </c>
      <c r="D15" s="85">
        <v>15</v>
      </c>
      <c r="E15" s="33"/>
      <c r="F15"/>
    </row>
    <row r="16" spans="3:6" ht="12">
      <c r="C16" s="12" t="s">
        <v>174</v>
      </c>
      <c r="D16" s="78"/>
      <c r="E16" s="78">
        <v>1</v>
      </c>
      <c r="F16"/>
    </row>
    <row r="17" spans="3:6" ht="12">
      <c r="C17" s="12" t="s">
        <v>175</v>
      </c>
      <c r="D17" s="78"/>
      <c r="E17" s="78">
        <v>0.7</v>
      </c>
      <c r="F17"/>
    </row>
    <row r="18" spans="3:6" ht="12">
      <c r="C18" s="12" t="s">
        <v>176</v>
      </c>
      <c r="D18" s="78"/>
      <c r="E18" s="78">
        <v>5</v>
      </c>
      <c r="F18"/>
    </row>
    <row r="19" spans="4:6" ht="12">
      <c r="D19" s="15"/>
      <c r="E19" s="15"/>
      <c r="F19"/>
    </row>
    <row r="20" spans="3:6" ht="12">
      <c r="C20" s="139" t="s">
        <v>107</v>
      </c>
      <c r="D20" s="140" t="s">
        <v>106</v>
      </c>
      <c r="E20" s="17" t="s">
        <v>105</v>
      </c>
      <c r="F20"/>
    </row>
    <row r="21" spans="2:8" ht="12">
      <c r="B21" s="7"/>
      <c r="C21" s="61" t="s">
        <v>46</v>
      </c>
      <c r="D21" s="141">
        <f aca="true" ca="1" t="shared" si="0" ref="D21:D40">$D$14+$D$15*NORMSINV(RAND())</f>
        <v>11.667460772971001</v>
      </c>
      <c r="E21" s="13">
        <f aca="true" ca="1" t="shared" si="1" ref="E21:E40">$E$16+$E$17*D21+$E$18*NORMSINV(RAND())</f>
        <v>15.87383530155802</v>
      </c>
      <c r="F21" s="4"/>
      <c r="H21" s="4"/>
    </row>
    <row r="22" spans="2:7" ht="12">
      <c r="B22" s="7"/>
      <c r="C22" s="137" t="s">
        <v>47</v>
      </c>
      <c r="D22" s="63">
        <f ca="1" t="shared" si="0"/>
        <v>2.7659005320817878</v>
      </c>
      <c r="E22" s="67">
        <f ca="1" t="shared" si="1"/>
        <v>0.9616917382610048</v>
      </c>
      <c r="F22"/>
      <c r="G22" s="4"/>
    </row>
    <row r="23" spans="2:6" ht="12">
      <c r="B23" s="7"/>
      <c r="C23" s="137" t="s">
        <v>48</v>
      </c>
      <c r="D23" s="63">
        <f ca="1" t="shared" si="0"/>
        <v>10.802323207002027</v>
      </c>
      <c r="E23" s="67">
        <f ca="1" t="shared" si="1"/>
        <v>4.927173806500441</v>
      </c>
      <c r="F23"/>
    </row>
    <row r="24" spans="2:6" ht="12">
      <c r="B24" s="7"/>
      <c r="C24" s="137" t="s">
        <v>49</v>
      </c>
      <c r="D24" s="63">
        <f ca="1" t="shared" si="0"/>
        <v>11.28105527494538</v>
      </c>
      <c r="E24" s="67">
        <f ca="1" t="shared" si="1"/>
        <v>2.588398148648319</v>
      </c>
      <c r="F24"/>
    </row>
    <row r="25" spans="2:6" ht="12">
      <c r="B25" s="7"/>
      <c r="C25" s="137" t="s">
        <v>50</v>
      </c>
      <c r="D25" s="63">
        <f ca="1" t="shared" si="0"/>
        <v>3.274505886533986</v>
      </c>
      <c r="E25" s="67">
        <f ca="1" t="shared" si="1"/>
        <v>-0.12762426412617778</v>
      </c>
      <c r="F25"/>
    </row>
    <row r="26" spans="2:6" ht="12">
      <c r="B26" s="7"/>
      <c r="C26" s="137" t="s">
        <v>51</v>
      </c>
      <c r="D26" s="63">
        <f ca="1" t="shared" si="0"/>
        <v>-11.434387654581581</v>
      </c>
      <c r="E26" s="67">
        <f ca="1" t="shared" si="1"/>
        <v>-7.95793836832579</v>
      </c>
      <c r="F26"/>
    </row>
    <row r="27" spans="2:6" ht="12">
      <c r="B27" s="7"/>
      <c r="C27" s="137" t="s">
        <v>52</v>
      </c>
      <c r="D27" s="63">
        <f ca="1" t="shared" si="0"/>
        <v>7.430621430943322</v>
      </c>
      <c r="E27" s="67">
        <f ca="1" t="shared" si="1"/>
        <v>5.39008067615087</v>
      </c>
      <c r="F27"/>
    </row>
    <row r="28" spans="2:6" ht="12">
      <c r="B28" s="7"/>
      <c r="C28" s="137" t="s">
        <v>53</v>
      </c>
      <c r="D28" s="63">
        <f ca="1" t="shared" si="0"/>
        <v>38.48866499659658</v>
      </c>
      <c r="E28" s="67">
        <f ca="1" t="shared" si="1"/>
        <v>33.19448013965881</v>
      </c>
      <c r="F28"/>
    </row>
    <row r="29" spans="2:6" ht="12">
      <c r="B29" s="7"/>
      <c r="C29" s="137" t="s">
        <v>54</v>
      </c>
      <c r="D29" s="63">
        <f ca="1" t="shared" si="0"/>
        <v>6.82115751209551</v>
      </c>
      <c r="E29" s="67">
        <f ca="1" t="shared" si="1"/>
        <v>-0.2135200954445935</v>
      </c>
      <c r="F29"/>
    </row>
    <row r="30" spans="2:6" ht="12">
      <c r="B30" s="7"/>
      <c r="C30" s="137" t="s">
        <v>55</v>
      </c>
      <c r="D30" s="63">
        <f ca="1" t="shared" si="0"/>
        <v>4.237263807900262</v>
      </c>
      <c r="E30" s="67">
        <f ca="1" t="shared" si="1"/>
        <v>2.4077201610837036</v>
      </c>
      <c r="F30"/>
    </row>
    <row r="31" spans="2:6" ht="12">
      <c r="B31" s="7"/>
      <c r="C31" s="137" t="s">
        <v>56</v>
      </c>
      <c r="D31" s="63">
        <f ca="1" t="shared" si="0"/>
        <v>-6.282695733092812</v>
      </c>
      <c r="E31" s="67">
        <f ca="1" t="shared" si="1"/>
        <v>-7.814320990994648</v>
      </c>
      <c r="F31"/>
    </row>
    <row r="32" spans="2:6" ht="12">
      <c r="B32" s="7"/>
      <c r="C32" s="137" t="s">
        <v>57</v>
      </c>
      <c r="D32" s="63">
        <f ca="1" t="shared" si="0"/>
        <v>44.97824852464641</v>
      </c>
      <c r="E32" s="67">
        <f ca="1" t="shared" si="1"/>
        <v>33.898173332344996</v>
      </c>
      <c r="F32"/>
    </row>
    <row r="33" spans="2:6" ht="12">
      <c r="B33" s="7"/>
      <c r="C33" s="137" t="s">
        <v>58</v>
      </c>
      <c r="D33" s="63">
        <f ca="1" t="shared" si="0"/>
        <v>3.163368832769981</v>
      </c>
      <c r="E33" s="67">
        <f ca="1" t="shared" si="1"/>
        <v>5.474278345369209</v>
      </c>
      <c r="F33"/>
    </row>
    <row r="34" spans="2:6" ht="12">
      <c r="B34" s="7"/>
      <c r="C34" s="137" t="s">
        <v>59</v>
      </c>
      <c r="D34" s="63">
        <f ca="1" t="shared" si="0"/>
        <v>14.697019406328499</v>
      </c>
      <c r="E34" s="67">
        <f ca="1" t="shared" si="1"/>
        <v>9.382094721888318</v>
      </c>
      <c r="F34"/>
    </row>
    <row r="35" spans="2:6" ht="12">
      <c r="B35" s="7"/>
      <c r="C35" s="137" t="s">
        <v>60</v>
      </c>
      <c r="D35" s="63">
        <f ca="1" t="shared" si="0"/>
        <v>24.58335957615008</v>
      </c>
      <c r="E35" s="67">
        <f ca="1" t="shared" si="1"/>
        <v>16.6661862544384</v>
      </c>
      <c r="F35"/>
    </row>
    <row r="36" spans="2:6" ht="12">
      <c r="B36" s="7"/>
      <c r="C36" s="137" t="s">
        <v>61</v>
      </c>
      <c r="D36" s="63">
        <f ca="1" t="shared" si="0"/>
        <v>11.840771723878545</v>
      </c>
      <c r="E36" s="67">
        <f ca="1" t="shared" si="1"/>
        <v>13.620919688319157</v>
      </c>
      <c r="F36"/>
    </row>
    <row r="37" spans="2:6" ht="12">
      <c r="B37" s="7"/>
      <c r="C37" s="137" t="s">
        <v>62</v>
      </c>
      <c r="D37" s="63">
        <f ca="1" t="shared" si="0"/>
        <v>1.746882008849127</v>
      </c>
      <c r="E37" s="67">
        <f ca="1" t="shared" si="1"/>
        <v>-3.3572693712830985</v>
      </c>
      <c r="F37"/>
    </row>
    <row r="38" spans="2:6" ht="12">
      <c r="B38" s="7"/>
      <c r="C38" s="137" t="s">
        <v>63</v>
      </c>
      <c r="D38" s="63">
        <f ca="1" t="shared" si="0"/>
        <v>8.698939282144035</v>
      </c>
      <c r="E38" s="67">
        <f ca="1" t="shared" si="1"/>
        <v>14.039797895066673</v>
      </c>
      <c r="F38"/>
    </row>
    <row r="39" spans="2:6" ht="12">
      <c r="B39" s="7"/>
      <c r="C39" s="137" t="s">
        <v>64</v>
      </c>
      <c r="D39" s="63">
        <f ca="1" t="shared" si="0"/>
        <v>10.573379163760663</v>
      </c>
      <c r="E39" s="67">
        <f ca="1" t="shared" si="1"/>
        <v>11.390944660162061</v>
      </c>
      <c r="F39"/>
    </row>
    <row r="40" spans="2:6" ht="12">
      <c r="B40" s="7"/>
      <c r="C40" s="137" t="s">
        <v>65</v>
      </c>
      <c r="D40" s="63">
        <f ca="1" t="shared" si="0"/>
        <v>-1.0773375844215636</v>
      </c>
      <c r="E40" s="67">
        <f ca="1" t="shared" si="1"/>
        <v>2.6745536286617146</v>
      </c>
      <c r="F40"/>
    </row>
    <row r="41" spans="2:13" ht="12">
      <c r="B41" s="4"/>
      <c r="C41" s="4"/>
      <c r="D41" s="4"/>
      <c r="E41" s="4"/>
      <c r="F41"/>
      <c r="J41" s="4"/>
      <c r="K41" s="4"/>
      <c r="L41" s="4"/>
      <c r="M41" s="4"/>
    </row>
    <row r="42" spans="2:13" ht="12">
      <c r="B42" s="4"/>
      <c r="C42" s="142" t="s">
        <v>1</v>
      </c>
      <c r="D42" s="70">
        <f>COUNT(D21:D40)</f>
        <v>20</v>
      </c>
      <c r="E42" s="70">
        <f>COUNT(E21:E40)</f>
        <v>20</v>
      </c>
      <c r="F42"/>
      <c r="J42" s="4"/>
      <c r="K42" s="4"/>
      <c r="L42" s="4"/>
      <c r="M42" s="4"/>
    </row>
    <row r="43" spans="2:13" ht="12">
      <c r="B43" s="4"/>
      <c r="C43" s="142" t="s">
        <v>4</v>
      </c>
      <c r="D43" s="36">
        <f>AVERAGE(D21:D40)</f>
        <v>9.912825048375064</v>
      </c>
      <c r="E43" s="36">
        <f>AVERAGE(E21:E40)</f>
        <v>7.650982770396871</v>
      </c>
      <c r="F43"/>
      <c r="J43" s="4"/>
      <c r="K43" s="4"/>
      <c r="L43" s="4"/>
      <c r="M43" s="4"/>
    </row>
    <row r="44" spans="2:13" ht="12">
      <c r="B44" s="4"/>
      <c r="C44" s="142" t="s">
        <v>2</v>
      </c>
      <c r="D44" s="36">
        <f>STDEV(D21:D40)</f>
        <v>13.356925821085975</v>
      </c>
      <c r="E44" s="36">
        <f>STDEV(E21:E40)</f>
        <v>11.355430667938558</v>
      </c>
      <c r="F44"/>
      <c r="J44" s="4"/>
      <c r="K44" s="4"/>
      <c r="L44" s="4"/>
      <c r="M44" s="4"/>
    </row>
    <row r="45" spans="2:13" ht="12">
      <c r="B45" s="4"/>
      <c r="C45" s="136"/>
      <c r="D45" s="6"/>
      <c r="E45" s="6"/>
      <c r="F45"/>
      <c r="J45" s="4"/>
      <c r="K45" s="4"/>
      <c r="L45" s="4"/>
      <c r="M45" s="4"/>
    </row>
    <row r="46" spans="2:13" ht="12">
      <c r="B46" s="4"/>
      <c r="C46" s="149"/>
      <c r="D46" s="150" t="s">
        <v>178</v>
      </c>
      <c r="E46" s="150" t="s">
        <v>179</v>
      </c>
      <c r="F46"/>
      <c r="I46" s="2"/>
      <c r="J46" s="4"/>
      <c r="K46" s="4"/>
      <c r="L46" s="7"/>
      <c r="M46" s="7"/>
    </row>
    <row r="47" spans="2:13" ht="12">
      <c r="B47" s="4"/>
      <c r="C47" s="112" t="s">
        <v>174</v>
      </c>
      <c r="D47" s="143">
        <f>E16</f>
        <v>1</v>
      </c>
      <c r="E47" s="144">
        <f>INTERCEPT(E21:E40,D21:D40)</f>
        <v>-0.2571304973561874</v>
      </c>
      <c r="F47"/>
      <c r="I47" s="2"/>
      <c r="J47" s="4"/>
      <c r="K47" s="4"/>
      <c r="L47" s="6"/>
      <c r="M47" s="6"/>
    </row>
    <row r="48" spans="2:13" ht="12">
      <c r="B48" s="4"/>
      <c r="C48" s="112" t="s">
        <v>175</v>
      </c>
      <c r="D48" s="143">
        <f>E17</f>
        <v>0.7</v>
      </c>
      <c r="E48" s="144">
        <f>SLOPE(E21:E40,D21:D40)</f>
        <v>0.7977658466845813</v>
      </c>
      <c r="F48"/>
      <c r="I48" s="2"/>
      <c r="J48" s="4"/>
      <c r="K48" s="4"/>
      <c r="L48" s="6"/>
      <c r="M48" s="6"/>
    </row>
    <row r="49" spans="2:9" ht="12">
      <c r="B49" s="4"/>
      <c r="C49" s="112" t="s">
        <v>176</v>
      </c>
      <c r="D49" s="143">
        <f>E18</f>
        <v>5</v>
      </c>
      <c r="E49" s="144">
        <f>STEYX(E21:E40,D21:D40)</f>
        <v>4.03206391298163</v>
      </c>
      <c r="F49"/>
      <c r="I49" s="2"/>
    </row>
    <row r="50" spans="2:6" ht="12">
      <c r="B50" s="4"/>
      <c r="C50" s="112" t="s">
        <v>177</v>
      </c>
      <c r="D50" s="145">
        <f>E17*D15/SQRT((E17*D15)^2+E18^2)</f>
        <v>0.9028605188239303</v>
      </c>
      <c r="E50" s="144">
        <f>CORREL(E21:E40,D21:D40)</f>
        <v>0.9383791375564106</v>
      </c>
      <c r="F50"/>
    </row>
    <row r="51" spans="2:6" ht="12">
      <c r="B51" s="4"/>
      <c r="C51" s="38"/>
      <c r="D51" s="146"/>
      <c r="E51" s="147"/>
      <c r="F51"/>
    </row>
    <row r="53" spans="3:7" ht="12">
      <c r="C53" s="151"/>
      <c r="D53" s="151" t="s">
        <v>106</v>
      </c>
      <c r="E53" s="152" t="s">
        <v>185</v>
      </c>
      <c r="F53" s="153" t="s">
        <v>189</v>
      </c>
      <c r="G53" s="154"/>
    </row>
    <row r="54" spans="2:7" ht="12">
      <c r="B54" s="2"/>
      <c r="C54" s="40" t="s">
        <v>182</v>
      </c>
      <c r="D54" s="71">
        <f>MIN(D21:D40)</f>
        <v>-11.434387654581581</v>
      </c>
      <c r="E54" s="159">
        <f>E47+E48*D54</f>
        <v>-9.379094445933188</v>
      </c>
      <c r="F54" s="159">
        <f>D54-E54</f>
        <v>-2.0552932086483935</v>
      </c>
      <c r="G54" s="23" t="s">
        <v>187</v>
      </c>
    </row>
    <row r="55" spans="2:7" ht="12">
      <c r="B55" s="2"/>
      <c r="C55" s="60" t="s">
        <v>184</v>
      </c>
      <c r="D55" s="125">
        <f>AVERAGE(D21:D40)</f>
        <v>9.912825048375064</v>
      </c>
      <c r="E55" s="138">
        <f>E47+E48*D55</f>
        <v>7.650982770396871</v>
      </c>
      <c r="F55" s="138">
        <f>D55-E55</f>
        <v>2.261842277978193</v>
      </c>
      <c r="G55" s="148" t="s">
        <v>186</v>
      </c>
    </row>
    <row r="56" spans="2:7" ht="12">
      <c r="B56" s="2"/>
      <c r="C56" s="60" t="s">
        <v>183</v>
      </c>
      <c r="D56" s="125">
        <f>MAX(D21:D40)</f>
        <v>44.97824852464641</v>
      </c>
      <c r="E56" s="138">
        <f>E47+E48*D56</f>
        <v>35.62498001929787</v>
      </c>
      <c r="F56" s="138">
        <f>D56-E56</f>
        <v>9.353268505348538</v>
      </c>
      <c r="G56" s="25" t="s">
        <v>188</v>
      </c>
    </row>
    <row r="58" spans="2:6" ht="12">
      <c r="B58" s="2"/>
      <c r="C58" s="1"/>
      <c r="D58" s="1"/>
      <c r="E58" s="4"/>
      <c r="F58" s="4"/>
    </row>
    <row r="59" spans="2:6" ht="12">
      <c r="B59" s="2"/>
      <c r="C59" s="1"/>
      <c r="D59" s="1"/>
      <c r="E59" s="4"/>
      <c r="F59" s="4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3" max="3" width="9.00390625" style="0" customWidth="1"/>
    <col min="4" max="4" width="10.57421875" style="0" customWidth="1"/>
    <col min="5" max="5" width="11.00390625" style="3" customWidth="1"/>
    <col min="6" max="6" width="9.7109375" style="3" customWidth="1"/>
    <col min="13" max="13" width="10.7109375" style="0" customWidth="1"/>
    <col min="14" max="14" width="9.7109375" style="0" customWidth="1"/>
  </cols>
  <sheetData>
    <row r="1" ht="12">
      <c r="B1" t="s">
        <v>336</v>
      </c>
    </row>
    <row r="2" ht="12">
      <c r="B2" t="s">
        <v>335</v>
      </c>
    </row>
    <row r="3" ht="12">
      <c r="B3" t="s">
        <v>334</v>
      </c>
    </row>
    <row r="4" spans="2:14" ht="12">
      <c r="B4" t="s">
        <v>190</v>
      </c>
      <c r="M4" s="3"/>
      <c r="N4" s="3"/>
    </row>
    <row r="5" spans="2:14" ht="12">
      <c r="B5" t="s">
        <v>198</v>
      </c>
      <c r="M5" s="3"/>
      <c r="N5" s="3"/>
    </row>
    <row r="6" spans="2:11" ht="12">
      <c r="B6" s="2" t="s">
        <v>110</v>
      </c>
      <c r="C6" s="18"/>
      <c r="D6" s="19"/>
      <c r="E6" s="11"/>
      <c r="F6" s="20"/>
      <c r="G6" s="21"/>
      <c r="H6" s="22"/>
      <c r="I6" s="23"/>
      <c r="J6" s="25"/>
      <c r="K6" s="164"/>
    </row>
    <row r="7" spans="7:15" ht="12">
      <c r="G7" s="3"/>
      <c r="N7" s="3"/>
      <c r="O7" s="3"/>
    </row>
    <row r="8" spans="2:15" ht="12.75">
      <c r="B8" s="14" t="s">
        <v>202</v>
      </c>
      <c r="C8" s="10"/>
      <c r="D8" s="10"/>
      <c r="G8" s="3"/>
      <c r="L8" s="9"/>
      <c r="M8" s="9"/>
      <c r="N8" s="3"/>
      <c r="O8" s="3"/>
    </row>
    <row r="9" spans="2:7" ht="27.75" customHeight="1">
      <c r="B9" s="5"/>
      <c r="C9" s="26"/>
      <c r="D9" s="26" t="s">
        <v>92</v>
      </c>
      <c r="E9" s="32" t="s">
        <v>91</v>
      </c>
      <c r="F9" s="34"/>
      <c r="G9" s="3"/>
    </row>
    <row r="10" spans="3:6" ht="12">
      <c r="C10" s="61" t="s">
        <v>4</v>
      </c>
      <c r="D10" s="85">
        <v>300</v>
      </c>
      <c r="E10" s="33"/>
      <c r="F10" s="39"/>
    </row>
    <row r="11" spans="3:6" ht="12">
      <c r="C11" s="61" t="s">
        <v>8</v>
      </c>
      <c r="D11" s="85">
        <v>200</v>
      </c>
      <c r="E11" s="33"/>
      <c r="F11" s="39"/>
    </row>
    <row r="12" spans="3:6" ht="12">
      <c r="C12" s="12" t="s">
        <v>197</v>
      </c>
      <c r="D12" s="78"/>
      <c r="E12" s="78">
        <v>1.35</v>
      </c>
      <c r="F12" s="127"/>
    </row>
    <row r="13" spans="3:6" ht="12">
      <c r="C13" s="12" t="s">
        <v>191</v>
      </c>
      <c r="D13" s="78"/>
      <c r="E13" s="78">
        <v>1</v>
      </c>
      <c r="F13" s="127"/>
    </row>
    <row r="14" spans="3:6" ht="12">
      <c r="C14" s="12" t="s">
        <v>192</v>
      </c>
      <c r="D14" s="78"/>
      <c r="E14" s="78">
        <v>20</v>
      </c>
      <c r="F14" s="127"/>
    </row>
    <row r="15" spans="3:9" ht="12">
      <c r="C15" s="18"/>
      <c r="D15" s="167" t="s">
        <v>200</v>
      </c>
      <c r="E15" s="78"/>
      <c r="F15" s="15"/>
      <c r="H15" s="21" t="s">
        <v>193</v>
      </c>
      <c r="I15" s="21"/>
    </row>
    <row r="16" spans="3:11" ht="12">
      <c r="C16" s="139" t="s">
        <v>107</v>
      </c>
      <c r="D16" s="140" t="s">
        <v>106</v>
      </c>
      <c r="E16" s="17" t="s">
        <v>105</v>
      </c>
      <c r="F16" s="165" t="s">
        <v>203</v>
      </c>
      <c r="G16" s="166" t="s">
        <v>204</v>
      </c>
      <c r="H16" s="105" t="s">
        <v>106</v>
      </c>
      <c r="I16" s="105" t="s">
        <v>105</v>
      </c>
      <c r="J16" s="165" t="s">
        <v>203</v>
      </c>
      <c r="K16" s="166" t="s">
        <v>204</v>
      </c>
    </row>
    <row r="17" spans="2:11" ht="12">
      <c r="B17" s="7"/>
      <c r="C17" s="61" t="s">
        <v>22</v>
      </c>
      <c r="D17" s="141">
        <f ca="1">EXP(LN($D$10)+LN(1+$D$11/100)*NORMSINV(RAND()))</f>
        <v>1661.6673953655466</v>
      </c>
      <c r="E17" s="13">
        <f ca="1">EXP(LN($E$12)+$E$13*LN(D17)+LN(1+$E$14/100)*NORMSINV(RAND()))</f>
        <v>2468.4406921593736</v>
      </c>
      <c r="F17" s="160">
        <f>FORECAST(D17,$E$17:$E$66,$D$17:$D$66)</f>
        <v>2098.5157227509176</v>
      </c>
      <c r="G17" s="161">
        <f>E17-F17</f>
        <v>369.92496940845604</v>
      </c>
      <c r="H17" s="36">
        <f>100*LN(D17)</f>
        <v>741.5576832262666</v>
      </c>
      <c r="I17" s="36">
        <f>100*LN(E17)</f>
        <v>781.1341931548179</v>
      </c>
      <c r="J17" s="160">
        <f>FORECAST(H17,$I$17:$I$66,$H$17:$H$66)</f>
        <v>766.7718230247606</v>
      </c>
      <c r="K17" s="161">
        <f>I17-J17</f>
        <v>14.362370130057343</v>
      </c>
    </row>
    <row r="18" spans="2:11" ht="12">
      <c r="B18" s="7"/>
      <c r="C18" s="137" t="s">
        <v>68</v>
      </c>
      <c r="D18" s="63">
        <f ca="1">EXP(LN($D$10)+LN(1+$D$11/100)*NORMSINV(RAND()))</f>
        <v>426.3378399467718</v>
      </c>
      <c r="E18" s="67">
        <f ca="1">EXP(LN($E$12)+$E$13*LN(D18)+LN(1+$E$14/100)*NORMSINV(RAND()))</f>
        <v>657.2480314957369</v>
      </c>
      <c r="F18" s="160">
        <f aca="true" t="shared" si="0" ref="F18:F66">FORECAST(D18,$E$17:$E$66,$D$17:$D$66)</f>
        <v>589.5418712181337</v>
      </c>
      <c r="G18" s="161">
        <f aca="true" t="shared" si="1" ref="G18:G66">E18-F18</f>
        <v>67.7061602776032</v>
      </c>
      <c r="H18" s="36">
        <f aca="true" t="shared" si="2" ref="H18:H66">100*LN(D18)</f>
        <v>605.5232083488418</v>
      </c>
      <c r="I18" s="36">
        <f aca="true" t="shared" si="3" ref="I18:I66">100*LN(E18)</f>
        <v>648.8061468543865</v>
      </c>
      <c r="J18" s="160">
        <f aca="true" t="shared" si="4" ref="J18:J66">FORECAST(H18,$I$17:$I$66,$H$17:$H$66)</f>
        <v>634.9526722168961</v>
      </c>
      <c r="K18" s="161">
        <f aca="true" t="shared" si="5" ref="K18:K66">I18-J18</f>
        <v>13.853474637490422</v>
      </c>
    </row>
    <row r="19" spans="2:11" ht="12">
      <c r="B19" s="7"/>
      <c r="C19" s="137" t="s">
        <v>69</v>
      </c>
      <c r="D19" s="63">
        <f aca="true" ca="1" t="shared" si="6" ref="D19:D66">EXP(LN($D$10)+LN(1+$D$11/100)*NORMSINV(RAND()))</f>
        <v>315.53011039377714</v>
      </c>
      <c r="E19" s="67">
        <f aca="true" ca="1" t="shared" si="7" ref="E19:E66">EXP(LN($E$12)+$E$13*LN(D19)+LN(1+$E$14/100)*NORMSINV(RAND()))</f>
        <v>426.6932782395932</v>
      </c>
      <c r="F19" s="160">
        <f t="shared" si="0"/>
        <v>454.1885432663039</v>
      </c>
      <c r="G19" s="161">
        <f t="shared" si="1"/>
        <v>-27.495265026710683</v>
      </c>
      <c r="H19" s="36">
        <f t="shared" si="2"/>
        <v>575.4254114491711</v>
      </c>
      <c r="I19" s="36">
        <f t="shared" si="3"/>
        <v>605.6065437174618</v>
      </c>
      <c r="J19" s="160">
        <f t="shared" si="4"/>
        <v>605.7875210147682</v>
      </c>
      <c r="K19" s="161">
        <f t="shared" si="5"/>
        <v>-0.18097729730641277</v>
      </c>
    </row>
    <row r="20" spans="2:11" ht="12">
      <c r="B20" s="7"/>
      <c r="C20" s="137" t="s">
        <v>23</v>
      </c>
      <c r="D20" s="63">
        <f ca="1" t="shared" si="6"/>
        <v>139.84261336619235</v>
      </c>
      <c r="E20" s="67">
        <f ca="1" t="shared" si="7"/>
        <v>133.88260990550967</v>
      </c>
      <c r="F20" s="160">
        <f t="shared" si="0"/>
        <v>239.58359198591626</v>
      </c>
      <c r="G20" s="161">
        <f t="shared" si="1"/>
        <v>-105.70098208040659</v>
      </c>
      <c r="H20" s="36">
        <f t="shared" si="2"/>
        <v>494.0517599991987</v>
      </c>
      <c r="I20" s="36">
        <f t="shared" si="3"/>
        <v>489.69633705175414</v>
      </c>
      <c r="J20" s="160">
        <f t="shared" si="4"/>
        <v>526.9354091369826</v>
      </c>
      <c r="K20" s="161">
        <f t="shared" si="5"/>
        <v>-37.23907208522843</v>
      </c>
    </row>
    <row r="21" spans="2:11" ht="12">
      <c r="B21" s="7"/>
      <c r="C21" s="137" t="s">
        <v>24</v>
      </c>
      <c r="D21" s="63">
        <f ca="1" t="shared" si="6"/>
        <v>303.5560834099964</v>
      </c>
      <c r="E21" s="67">
        <f ca="1" t="shared" si="7"/>
        <v>286.1548470707827</v>
      </c>
      <c r="F21" s="160">
        <f t="shared" si="0"/>
        <v>439.5620870815428</v>
      </c>
      <c r="G21" s="161">
        <f t="shared" si="1"/>
        <v>-153.40724001076012</v>
      </c>
      <c r="H21" s="36">
        <f t="shared" si="2"/>
        <v>571.5566382258501</v>
      </c>
      <c r="I21" s="36">
        <f t="shared" si="3"/>
        <v>565.6533087627542</v>
      </c>
      <c r="J21" s="160">
        <f t="shared" si="4"/>
        <v>602.0386301440834</v>
      </c>
      <c r="K21" s="161">
        <f t="shared" si="5"/>
        <v>-36.38532138132916</v>
      </c>
    </row>
    <row r="22" spans="2:17" ht="12">
      <c r="B22" s="7"/>
      <c r="C22" s="137" t="s">
        <v>70</v>
      </c>
      <c r="D22" s="63">
        <f ca="1" t="shared" si="6"/>
        <v>28.794210731907288</v>
      </c>
      <c r="E22" s="67">
        <f ca="1" t="shared" si="7"/>
        <v>42.328406734926496</v>
      </c>
      <c r="F22" s="160">
        <f t="shared" si="0"/>
        <v>103.9362782026604</v>
      </c>
      <c r="G22" s="161">
        <f t="shared" si="1"/>
        <v>-61.60787146773391</v>
      </c>
      <c r="H22" s="36">
        <f t="shared" si="2"/>
        <v>336.0174350682206</v>
      </c>
      <c r="I22" s="36">
        <f t="shared" si="3"/>
        <v>374.5458414677911</v>
      </c>
      <c r="J22" s="160">
        <f t="shared" si="4"/>
        <v>373.7981214776118</v>
      </c>
      <c r="K22" s="161">
        <f t="shared" si="5"/>
        <v>0.7477199901792915</v>
      </c>
      <c r="Q22" t="s">
        <v>205</v>
      </c>
    </row>
    <row r="23" spans="2:17" ht="12">
      <c r="B23" s="7"/>
      <c r="C23" s="137" t="s">
        <v>71</v>
      </c>
      <c r="D23" s="63">
        <f ca="1" t="shared" si="6"/>
        <v>509.72020502860096</v>
      </c>
      <c r="E23" s="67">
        <f ca="1" t="shared" si="7"/>
        <v>606.7324630008005</v>
      </c>
      <c r="F23" s="160">
        <f t="shared" si="0"/>
        <v>691.3946991016105</v>
      </c>
      <c r="G23" s="161">
        <f t="shared" si="1"/>
        <v>-84.66223610080999</v>
      </c>
      <c r="H23" s="36">
        <f t="shared" si="2"/>
        <v>623.3861957581698</v>
      </c>
      <c r="I23" s="36">
        <f t="shared" si="3"/>
        <v>640.8087941017684</v>
      </c>
      <c r="J23" s="160">
        <f t="shared" si="4"/>
        <v>652.262136110596</v>
      </c>
      <c r="K23" s="161">
        <f t="shared" si="5"/>
        <v>-11.453342008827576</v>
      </c>
      <c r="Q23" t="s">
        <v>206</v>
      </c>
    </row>
    <row r="24" spans="2:11" ht="12">
      <c r="B24" s="7"/>
      <c r="C24" s="137" t="s">
        <v>72</v>
      </c>
      <c r="D24" s="63">
        <f ca="1" t="shared" si="6"/>
        <v>1277.49797035819</v>
      </c>
      <c r="E24" s="67">
        <f ca="1" t="shared" si="7"/>
        <v>1770.3964591409958</v>
      </c>
      <c r="F24" s="160">
        <f t="shared" si="0"/>
        <v>1629.2469237072746</v>
      </c>
      <c r="G24" s="161">
        <f t="shared" si="1"/>
        <v>141.1495354337212</v>
      </c>
      <c r="H24" s="36">
        <f t="shared" si="2"/>
        <v>715.2658733315885</v>
      </c>
      <c r="I24" s="36">
        <f t="shared" si="3"/>
        <v>747.8958788701511</v>
      </c>
      <c r="J24" s="160">
        <f t="shared" si="4"/>
        <v>741.2947220425197</v>
      </c>
      <c r="K24" s="161">
        <f t="shared" si="5"/>
        <v>6.601156827631485</v>
      </c>
    </row>
    <row r="25" spans="2:17" ht="12">
      <c r="B25" s="7"/>
      <c r="C25" s="137" t="s">
        <v>73</v>
      </c>
      <c r="D25" s="63">
        <f ca="1" t="shared" si="6"/>
        <v>155.69742186789352</v>
      </c>
      <c r="E25" s="67">
        <f ca="1" t="shared" si="7"/>
        <v>247.23656499441827</v>
      </c>
      <c r="F25" s="160">
        <f t="shared" si="0"/>
        <v>258.95048185362964</v>
      </c>
      <c r="G25" s="161">
        <f t="shared" si="1"/>
        <v>-11.713916859211366</v>
      </c>
      <c r="H25" s="36">
        <f t="shared" si="2"/>
        <v>504.7914520372056</v>
      </c>
      <c r="I25" s="36">
        <f t="shared" si="3"/>
        <v>551.0345631289034</v>
      </c>
      <c r="J25" s="160">
        <f t="shared" si="4"/>
        <v>537.3423084591117</v>
      </c>
      <c r="K25" s="161">
        <f t="shared" si="5"/>
        <v>13.692254669791737</v>
      </c>
      <c r="Q25" t="s">
        <v>207</v>
      </c>
    </row>
    <row r="26" spans="2:11" ht="12">
      <c r="B26" s="7"/>
      <c r="C26" s="137" t="s">
        <v>74</v>
      </c>
      <c r="D26" s="63">
        <f ca="1" t="shared" si="6"/>
        <v>309.1301856517842</v>
      </c>
      <c r="E26" s="67">
        <f ca="1" t="shared" si="7"/>
        <v>427.0236534319869</v>
      </c>
      <c r="F26" s="160">
        <f t="shared" si="0"/>
        <v>446.3709377981248</v>
      </c>
      <c r="G26" s="161">
        <f t="shared" si="1"/>
        <v>-19.347284366137956</v>
      </c>
      <c r="H26" s="36">
        <f t="shared" si="2"/>
        <v>573.3762500959378</v>
      </c>
      <c r="I26" s="36">
        <f t="shared" si="3"/>
        <v>605.6839406148711</v>
      </c>
      <c r="J26" s="160">
        <f t="shared" si="4"/>
        <v>603.8018573828477</v>
      </c>
      <c r="K26" s="161">
        <f t="shared" si="5"/>
        <v>1.8820832320233194</v>
      </c>
    </row>
    <row r="27" spans="2:11" ht="12">
      <c r="B27" s="7"/>
      <c r="C27" s="137" t="s">
        <v>25</v>
      </c>
      <c r="D27" s="63">
        <f ca="1" t="shared" si="6"/>
        <v>22.81432440713746</v>
      </c>
      <c r="E27" s="67">
        <f ca="1" t="shared" si="7"/>
        <v>34.59409136721699</v>
      </c>
      <c r="F27" s="160">
        <f t="shared" si="0"/>
        <v>96.63175605338081</v>
      </c>
      <c r="G27" s="161">
        <f t="shared" si="1"/>
        <v>-62.03766468616382</v>
      </c>
      <c r="H27" s="36">
        <f t="shared" si="2"/>
        <v>312.73886021564647</v>
      </c>
      <c r="I27" s="36">
        <f t="shared" si="3"/>
        <v>354.36828977472544</v>
      </c>
      <c r="J27" s="160">
        <f t="shared" si="4"/>
        <v>351.2408838961194</v>
      </c>
      <c r="K27" s="161">
        <f t="shared" si="5"/>
        <v>3.127405878606055</v>
      </c>
    </row>
    <row r="28" spans="2:11" ht="12">
      <c r="B28" s="7"/>
      <c r="C28" s="137" t="s">
        <v>75</v>
      </c>
      <c r="D28" s="63">
        <f ca="1" t="shared" si="6"/>
        <v>76.32699680238784</v>
      </c>
      <c r="E28" s="67">
        <f ca="1" t="shared" si="7"/>
        <v>123.79697314885031</v>
      </c>
      <c r="F28" s="160">
        <f t="shared" si="0"/>
        <v>161.99829975491087</v>
      </c>
      <c r="G28" s="161">
        <f t="shared" si="1"/>
        <v>-38.20132660606056</v>
      </c>
      <c r="H28" s="36">
        <f t="shared" si="2"/>
        <v>433.5026700118069</v>
      </c>
      <c r="I28" s="36">
        <f t="shared" si="3"/>
        <v>481.8642910426967</v>
      </c>
      <c r="J28" s="160">
        <f t="shared" si="4"/>
        <v>468.26256439289267</v>
      </c>
      <c r="K28" s="161">
        <f t="shared" si="5"/>
        <v>13.60172664980405</v>
      </c>
    </row>
    <row r="29" spans="2:11" ht="12">
      <c r="B29" s="7"/>
      <c r="C29" s="137" t="s">
        <v>76</v>
      </c>
      <c r="D29" s="63">
        <f ca="1" t="shared" si="6"/>
        <v>456.93944834027485</v>
      </c>
      <c r="E29" s="67">
        <f ca="1" t="shared" si="7"/>
        <v>518.6918237107916</v>
      </c>
      <c r="F29" s="160">
        <f t="shared" si="0"/>
        <v>626.9222015745852</v>
      </c>
      <c r="G29" s="161">
        <f t="shared" si="1"/>
        <v>-108.23037786379359</v>
      </c>
      <c r="H29" s="36">
        <f t="shared" si="2"/>
        <v>612.4550883954224</v>
      </c>
      <c r="I29" s="36">
        <f t="shared" si="3"/>
        <v>625.1309918192421</v>
      </c>
      <c r="J29" s="160">
        <f t="shared" si="4"/>
        <v>641.6697528838785</v>
      </c>
      <c r="K29" s="161">
        <f t="shared" si="5"/>
        <v>-16.538761064636333</v>
      </c>
    </row>
    <row r="30" spans="2:11" ht="12">
      <c r="B30" s="7"/>
      <c r="C30" s="137" t="s">
        <v>26</v>
      </c>
      <c r="D30" s="63">
        <f ca="1" t="shared" si="6"/>
        <v>894.31216497179</v>
      </c>
      <c r="E30" s="67">
        <f ca="1" t="shared" si="7"/>
        <v>917.1572994956233</v>
      </c>
      <c r="F30" s="160">
        <f t="shared" si="0"/>
        <v>1161.179630999627</v>
      </c>
      <c r="G30" s="161">
        <f t="shared" si="1"/>
        <v>-244.02233150400377</v>
      </c>
      <c r="H30" s="36">
        <f t="shared" si="2"/>
        <v>679.605489204592</v>
      </c>
      <c r="I30" s="36">
        <f t="shared" si="3"/>
        <v>682.1278994618317</v>
      </c>
      <c r="J30" s="160">
        <f t="shared" si="4"/>
        <v>706.7393524765433</v>
      </c>
      <c r="K30" s="161">
        <f t="shared" si="5"/>
        <v>-24.61145301471163</v>
      </c>
    </row>
    <row r="31" spans="2:11" ht="12">
      <c r="B31" s="7"/>
      <c r="C31" s="137" t="s">
        <v>77</v>
      </c>
      <c r="D31" s="63">
        <f ca="1" t="shared" si="6"/>
        <v>582.9735337860083</v>
      </c>
      <c r="E31" s="67">
        <f ca="1" t="shared" si="7"/>
        <v>597.3235619244028</v>
      </c>
      <c r="F31" s="160">
        <f t="shared" si="0"/>
        <v>780.8747549683142</v>
      </c>
      <c r="G31" s="161">
        <f t="shared" si="1"/>
        <v>-183.55119304391133</v>
      </c>
      <c r="H31" s="36">
        <f t="shared" si="2"/>
        <v>636.8141788726568</v>
      </c>
      <c r="I31" s="36">
        <f t="shared" si="3"/>
        <v>639.245894634748</v>
      </c>
      <c r="J31" s="160">
        <f t="shared" si="4"/>
        <v>665.274023963355</v>
      </c>
      <c r="K31" s="161">
        <f t="shared" si="5"/>
        <v>-26.028129328607065</v>
      </c>
    </row>
    <row r="32" spans="2:11" ht="12">
      <c r="B32" s="7"/>
      <c r="C32" s="137" t="s">
        <v>27</v>
      </c>
      <c r="D32" s="63">
        <f ca="1" t="shared" si="6"/>
        <v>219.49163559301607</v>
      </c>
      <c r="E32" s="67">
        <f ca="1" t="shared" si="7"/>
        <v>312.8749472994543</v>
      </c>
      <c r="F32" s="160">
        <f t="shared" si="0"/>
        <v>336.87608475695407</v>
      </c>
      <c r="G32" s="161">
        <f t="shared" si="1"/>
        <v>-24.001137457499794</v>
      </c>
      <c r="H32" s="36">
        <f t="shared" si="2"/>
        <v>539.1314125151409</v>
      </c>
      <c r="I32" s="36">
        <f t="shared" si="3"/>
        <v>574.5803581312306</v>
      </c>
      <c r="J32" s="160">
        <f t="shared" si="4"/>
        <v>570.6181705746222</v>
      </c>
      <c r="K32" s="161">
        <f t="shared" si="5"/>
        <v>3.9621875566083418</v>
      </c>
    </row>
    <row r="33" spans="2:11" ht="12">
      <c r="B33" s="7"/>
      <c r="C33" s="137" t="s">
        <v>78</v>
      </c>
      <c r="D33" s="63">
        <f ca="1" t="shared" si="6"/>
        <v>364.96725437096734</v>
      </c>
      <c r="E33" s="67">
        <f ca="1" t="shared" si="7"/>
        <v>541.8630979598377</v>
      </c>
      <c r="F33" s="160">
        <f t="shared" si="0"/>
        <v>514.5767669826485</v>
      </c>
      <c r="G33" s="161">
        <f t="shared" si="1"/>
        <v>27.28633097718921</v>
      </c>
      <c r="H33" s="36">
        <f t="shared" si="2"/>
        <v>589.98076355058</v>
      </c>
      <c r="I33" s="36">
        <f t="shared" si="3"/>
        <v>629.5013382744263</v>
      </c>
      <c r="J33" s="160">
        <f t="shared" si="4"/>
        <v>619.8918438744406</v>
      </c>
      <c r="K33" s="161">
        <f t="shared" si="5"/>
        <v>9.609494399985692</v>
      </c>
    </row>
    <row r="34" spans="2:11" ht="12">
      <c r="B34" s="7"/>
      <c r="C34" s="137" t="s">
        <v>28</v>
      </c>
      <c r="D34" s="63">
        <f ca="1" t="shared" si="6"/>
        <v>6286.267144346366</v>
      </c>
      <c r="E34" s="67">
        <f ca="1" t="shared" si="7"/>
        <v>7372.539557981126</v>
      </c>
      <c r="F34" s="160">
        <f t="shared" si="0"/>
        <v>7747.534694576186</v>
      </c>
      <c r="G34" s="161">
        <f t="shared" si="1"/>
        <v>-374.9951365950601</v>
      </c>
      <c r="H34" s="36">
        <f t="shared" si="2"/>
        <v>874.6122714759666</v>
      </c>
      <c r="I34" s="36">
        <f t="shared" si="3"/>
        <v>890.5517506287939</v>
      </c>
      <c r="J34" s="160">
        <f t="shared" si="4"/>
        <v>895.7034254731057</v>
      </c>
      <c r="K34" s="161">
        <f t="shared" si="5"/>
        <v>-5.151674844311742</v>
      </c>
    </row>
    <row r="35" spans="2:11" ht="12">
      <c r="B35" s="7"/>
      <c r="C35" s="137" t="s">
        <v>29</v>
      </c>
      <c r="D35" s="63">
        <f ca="1" t="shared" si="6"/>
        <v>281.7663728742692</v>
      </c>
      <c r="E35" s="67">
        <f ca="1" t="shared" si="7"/>
        <v>394.35834417772475</v>
      </c>
      <c r="F35" s="160">
        <f t="shared" si="0"/>
        <v>412.9456240602769</v>
      </c>
      <c r="G35" s="161">
        <f t="shared" si="1"/>
        <v>-18.58727988255214</v>
      </c>
      <c r="H35" s="36">
        <f t="shared" si="2"/>
        <v>564.107826258648</v>
      </c>
      <c r="I35" s="36">
        <f t="shared" si="3"/>
        <v>597.7259998939847</v>
      </c>
      <c r="J35" s="160">
        <f t="shared" si="4"/>
        <v>594.8206358163309</v>
      </c>
      <c r="K35" s="161">
        <f t="shared" si="5"/>
        <v>2.9053640776538714</v>
      </c>
    </row>
    <row r="36" spans="2:11" ht="12">
      <c r="B36" s="7"/>
      <c r="C36" s="137" t="s">
        <v>79</v>
      </c>
      <c r="D36" s="63">
        <f ca="1" t="shared" si="6"/>
        <v>755.6018934041365</v>
      </c>
      <c r="E36" s="67">
        <f ca="1" t="shared" si="7"/>
        <v>1142.706687957217</v>
      </c>
      <c r="F36" s="160">
        <f t="shared" si="0"/>
        <v>991.7429233482467</v>
      </c>
      <c r="G36" s="161">
        <f t="shared" si="1"/>
        <v>150.96376460897022</v>
      </c>
      <c r="H36" s="36">
        <f t="shared" si="2"/>
        <v>662.7514641452876</v>
      </c>
      <c r="I36" s="36">
        <f t="shared" si="3"/>
        <v>704.1155014902861</v>
      </c>
      <c r="J36" s="160">
        <f t="shared" si="4"/>
        <v>690.4075860400291</v>
      </c>
      <c r="K36" s="161">
        <f t="shared" si="5"/>
        <v>13.707915450257019</v>
      </c>
    </row>
    <row r="37" spans="2:11" ht="12">
      <c r="B37" s="7"/>
      <c r="C37" s="137" t="s">
        <v>80</v>
      </c>
      <c r="D37" s="63">
        <f ca="1" t="shared" si="6"/>
        <v>390.22594495199195</v>
      </c>
      <c r="E37" s="67">
        <f ca="1" t="shared" si="7"/>
        <v>593.00598591112</v>
      </c>
      <c r="F37" s="160">
        <f t="shared" si="0"/>
        <v>545.4306419211484</v>
      </c>
      <c r="G37" s="161">
        <f t="shared" si="1"/>
        <v>47.57534398997154</v>
      </c>
      <c r="H37" s="36">
        <f t="shared" si="2"/>
        <v>596.6725917398319</v>
      </c>
      <c r="I37" s="36">
        <f t="shared" si="3"/>
        <v>638.5204493231972</v>
      </c>
      <c r="J37" s="160">
        <f t="shared" si="4"/>
        <v>626.3763112129894</v>
      </c>
      <c r="K37" s="161">
        <f t="shared" si="5"/>
        <v>12.144138110207791</v>
      </c>
    </row>
    <row r="38" spans="2:11" ht="12">
      <c r="B38" s="7"/>
      <c r="C38" s="137" t="s">
        <v>30</v>
      </c>
      <c r="D38" s="63">
        <f ca="1" t="shared" si="6"/>
        <v>138.8444646759557</v>
      </c>
      <c r="E38" s="67">
        <f ca="1" t="shared" si="7"/>
        <v>164.75989948187126</v>
      </c>
      <c r="F38" s="160">
        <f t="shared" si="0"/>
        <v>238.36433817068777</v>
      </c>
      <c r="G38" s="161">
        <f t="shared" si="1"/>
        <v>-73.60443868881651</v>
      </c>
      <c r="H38" s="36">
        <f t="shared" si="2"/>
        <v>493.3354347462701</v>
      </c>
      <c r="I38" s="36">
        <f t="shared" si="3"/>
        <v>510.44892594795124</v>
      </c>
      <c r="J38" s="160">
        <f t="shared" si="4"/>
        <v>526.2412807799734</v>
      </c>
      <c r="K38" s="161">
        <f t="shared" si="5"/>
        <v>-15.79235483202217</v>
      </c>
    </row>
    <row r="39" spans="2:11" ht="12">
      <c r="B39" s="7"/>
      <c r="C39" s="137" t="s">
        <v>81</v>
      </c>
      <c r="D39" s="63">
        <f ca="1" t="shared" si="6"/>
        <v>65.79094245641326</v>
      </c>
      <c r="E39" s="67">
        <f ca="1" t="shared" si="7"/>
        <v>105.42264709537795</v>
      </c>
      <c r="F39" s="160">
        <f aca="true" t="shared" si="8" ref="F39:F51">FORECAST(D39,$E$17:$E$66,$D$17:$D$66)</f>
        <v>149.12834903069756</v>
      </c>
      <c r="G39" s="161">
        <f aca="true" t="shared" si="9" ref="G39:G51">E39-F39</f>
        <v>-43.70570193531961</v>
      </c>
      <c r="H39" s="36">
        <f aca="true" t="shared" si="10" ref="H39:H51">100*LN(D39)</f>
        <v>418.6482176218181</v>
      </c>
      <c r="I39" s="36">
        <f aca="true" t="shared" si="11" ref="I39:I51">100*LN(E39)</f>
        <v>465.79774811040124</v>
      </c>
      <c r="J39" s="160">
        <f aca="true" t="shared" si="12" ref="J39:J51">FORECAST(H39,$I$17:$I$66,$H$17:$H$66)</f>
        <v>453.8684095176043</v>
      </c>
      <c r="K39" s="161">
        <f aca="true" t="shared" si="13" ref="K39:K51">I39-J39</f>
        <v>11.929338592796967</v>
      </c>
    </row>
    <row r="40" spans="2:11" ht="12">
      <c r="B40" s="7"/>
      <c r="C40" s="137" t="s">
        <v>31</v>
      </c>
      <c r="D40" s="63">
        <f ca="1" t="shared" si="6"/>
        <v>72.15295261192936</v>
      </c>
      <c r="E40" s="67">
        <f ca="1" t="shared" si="7"/>
        <v>93.81437684201272</v>
      </c>
      <c r="F40" s="160">
        <f t="shared" si="8"/>
        <v>156.89964125450047</v>
      </c>
      <c r="G40" s="161">
        <f t="shared" si="9"/>
        <v>-63.085264412487746</v>
      </c>
      <c r="H40" s="36">
        <f t="shared" si="10"/>
        <v>427.8788207624811</v>
      </c>
      <c r="I40" s="36">
        <f t="shared" si="11"/>
        <v>454.13181155041525</v>
      </c>
      <c r="J40" s="160">
        <f t="shared" si="12"/>
        <v>462.8129823440366</v>
      </c>
      <c r="K40" s="161">
        <f t="shared" si="13"/>
        <v>-8.681170793621334</v>
      </c>
    </row>
    <row r="41" spans="2:11" ht="12">
      <c r="B41" s="7"/>
      <c r="C41" s="137" t="s">
        <v>32</v>
      </c>
      <c r="D41" s="63">
        <f ca="1" t="shared" si="6"/>
        <v>309.4425102495437</v>
      </c>
      <c r="E41" s="67">
        <f ca="1" t="shared" si="7"/>
        <v>381.4635186396573</v>
      </c>
      <c r="F41" s="160">
        <f t="shared" si="8"/>
        <v>446.7524470473307</v>
      </c>
      <c r="G41" s="161">
        <f t="shared" si="9"/>
        <v>-65.28892840767338</v>
      </c>
      <c r="H41" s="36">
        <f t="shared" si="10"/>
        <v>573.4772324465556</v>
      </c>
      <c r="I41" s="36">
        <f t="shared" si="11"/>
        <v>594.4015220043675</v>
      </c>
      <c r="J41" s="160">
        <f t="shared" si="12"/>
        <v>603.8997105757021</v>
      </c>
      <c r="K41" s="161">
        <f t="shared" si="13"/>
        <v>-9.498188571334595</v>
      </c>
    </row>
    <row r="42" spans="2:11" ht="12">
      <c r="B42" s="7"/>
      <c r="C42" s="137" t="s">
        <v>33</v>
      </c>
      <c r="D42" s="63">
        <f ca="1" t="shared" si="6"/>
        <v>97.3074417163667</v>
      </c>
      <c r="E42" s="67">
        <f ca="1" t="shared" si="7"/>
        <v>109.05307649748318</v>
      </c>
      <c r="F42" s="160">
        <f t="shared" si="8"/>
        <v>187.62623250358195</v>
      </c>
      <c r="G42" s="161">
        <f t="shared" si="9"/>
        <v>-78.57315600609877</v>
      </c>
      <c r="H42" s="36">
        <f t="shared" si="10"/>
        <v>457.7875468449943</v>
      </c>
      <c r="I42" s="36">
        <f t="shared" si="11"/>
        <v>469.1834704056049</v>
      </c>
      <c r="J42" s="160">
        <f t="shared" si="12"/>
        <v>491.7949214994925</v>
      </c>
      <c r="K42" s="161">
        <f t="shared" si="13"/>
        <v>-22.61145109388758</v>
      </c>
    </row>
    <row r="43" spans="2:11" ht="12">
      <c r="B43" s="7"/>
      <c r="C43" s="137" t="s">
        <v>82</v>
      </c>
      <c r="D43" s="63">
        <f ca="1" t="shared" si="6"/>
        <v>477.49969113558427</v>
      </c>
      <c r="E43" s="67">
        <f ca="1" t="shared" si="7"/>
        <v>609.6879008223721</v>
      </c>
      <c r="F43" s="160">
        <f t="shared" si="8"/>
        <v>652.0368510405489</v>
      </c>
      <c r="G43" s="161">
        <f t="shared" si="9"/>
        <v>-42.34895021817681</v>
      </c>
      <c r="H43" s="36">
        <f t="shared" si="10"/>
        <v>616.8563513084104</v>
      </c>
      <c r="I43" s="36">
        <f t="shared" si="11"/>
        <v>641.2947188239865</v>
      </c>
      <c r="J43" s="160">
        <f t="shared" si="12"/>
        <v>645.934633093068</v>
      </c>
      <c r="K43" s="161">
        <f t="shared" si="13"/>
        <v>-4.639914269081487</v>
      </c>
    </row>
    <row r="44" spans="2:11" ht="12">
      <c r="B44" s="7"/>
      <c r="C44" s="137" t="s">
        <v>34</v>
      </c>
      <c r="D44" s="63">
        <f ca="1" t="shared" si="6"/>
        <v>854.0492060605005</v>
      </c>
      <c r="E44" s="67">
        <f ca="1" t="shared" si="7"/>
        <v>996.7085011608989</v>
      </c>
      <c r="F44" s="160">
        <f t="shared" si="8"/>
        <v>1111.99781395658</v>
      </c>
      <c r="G44" s="161">
        <f t="shared" si="9"/>
        <v>-115.28931279568121</v>
      </c>
      <c r="H44" s="36">
        <f t="shared" si="10"/>
        <v>674.998881046652</v>
      </c>
      <c r="I44" s="36">
        <f t="shared" si="11"/>
        <v>690.445835124465</v>
      </c>
      <c r="J44" s="160">
        <f t="shared" si="12"/>
        <v>702.2754900914282</v>
      </c>
      <c r="K44" s="161">
        <f t="shared" si="13"/>
        <v>-11.829654966963176</v>
      </c>
    </row>
    <row r="45" spans="2:11" ht="12">
      <c r="B45" s="7"/>
      <c r="C45" s="137" t="s">
        <v>83</v>
      </c>
      <c r="D45" s="63">
        <f ca="1" t="shared" si="6"/>
        <v>433.016380948324</v>
      </c>
      <c r="E45" s="67">
        <f ca="1" t="shared" si="7"/>
        <v>678.1842476735627</v>
      </c>
      <c r="F45" s="160">
        <f t="shared" si="8"/>
        <v>597.6998106874241</v>
      </c>
      <c r="G45" s="161">
        <f t="shared" si="9"/>
        <v>80.48443698613858</v>
      </c>
      <c r="H45" s="36">
        <f t="shared" si="10"/>
        <v>607.0775558576337</v>
      </c>
      <c r="I45" s="36">
        <f t="shared" si="11"/>
        <v>651.94190027535</v>
      </c>
      <c r="J45" s="160">
        <f t="shared" si="12"/>
        <v>636.4588548875308</v>
      </c>
      <c r="K45" s="161">
        <f t="shared" si="13"/>
        <v>15.483045387819175</v>
      </c>
    </row>
    <row r="46" spans="2:11" ht="12">
      <c r="B46" s="7"/>
      <c r="C46" s="137" t="s">
        <v>84</v>
      </c>
      <c r="D46" s="63">
        <f ca="1" t="shared" si="6"/>
        <v>75.71651275657133</v>
      </c>
      <c r="E46" s="67">
        <f ca="1" t="shared" si="7"/>
        <v>122.45758500324848</v>
      </c>
      <c r="F46" s="160">
        <f t="shared" si="8"/>
        <v>161.25258420243</v>
      </c>
      <c r="G46" s="161">
        <f t="shared" si="9"/>
        <v>-38.79499919918152</v>
      </c>
      <c r="H46" s="36">
        <f t="shared" si="10"/>
        <v>432.69962708243145</v>
      </c>
      <c r="I46" s="36">
        <f t="shared" si="11"/>
        <v>480.7764725156745</v>
      </c>
      <c r="J46" s="160">
        <f t="shared" si="12"/>
        <v>467.48440549524616</v>
      </c>
      <c r="K46" s="161">
        <f t="shared" si="13"/>
        <v>13.292067020428362</v>
      </c>
    </row>
    <row r="47" spans="2:11" ht="12">
      <c r="B47" s="7"/>
      <c r="C47" s="137" t="s">
        <v>85</v>
      </c>
      <c r="D47" s="63">
        <f ca="1" t="shared" si="6"/>
        <v>1479.8196821620938</v>
      </c>
      <c r="E47" s="67">
        <f ca="1" t="shared" si="7"/>
        <v>2268.3844933169717</v>
      </c>
      <c r="F47" s="160">
        <f t="shared" si="8"/>
        <v>1876.3859736638242</v>
      </c>
      <c r="G47" s="161">
        <f t="shared" si="9"/>
        <v>391.99851965314747</v>
      </c>
      <c r="H47" s="36">
        <f t="shared" si="10"/>
        <v>729.9675522958543</v>
      </c>
      <c r="I47" s="36">
        <f t="shared" si="11"/>
        <v>772.6823180160314</v>
      </c>
      <c r="J47" s="160">
        <f t="shared" si="12"/>
        <v>755.5408375089526</v>
      </c>
      <c r="K47" s="161">
        <f t="shared" si="13"/>
        <v>17.14148050707888</v>
      </c>
    </row>
    <row r="48" spans="2:11" ht="12">
      <c r="B48" s="7"/>
      <c r="C48" s="137" t="s">
        <v>36</v>
      </c>
      <c r="D48" s="63">
        <f ca="1" t="shared" si="6"/>
        <v>219.7536400502777</v>
      </c>
      <c r="E48" s="67">
        <f ca="1" t="shared" si="7"/>
        <v>302.12011086914697</v>
      </c>
      <c r="F48" s="160">
        <f t="shared" si="8"/>
        <v>337.19612718875584</v>
      </c>
      <c r="G48" s="161">
        <f t="shared" si="9"/>
        <v>-35.07601631960887</v>
      </c>
      <c r="H48" s="36">
        <f t="shared" si="10"/>
        <v>539.250710093448</v>
      </c>
      <c r="I48" s="36">
        <f t="shared" si="11"/>
        <v>571.0824656415745</v>
      </c>
      <c r="J48" s="160">
        <f t="shared" si="12"/>
        <v>570.7337714580015</v>
      </c>
      <c r="K48" s="161">
        <f t="shared" si="13"/>
        <v>0.3486941835730022</v>
      </c>
    </row>
    <row r="49" spans="2:11" ht="12">
      <c r="B49" s="7"/>
      <c r="C49" s="137" t="s">
        <v>86</v>
      </c>
      <c r="D49" s="63">
        <f ca="1" t="shared" si="6"/>
        <v>346.1992211305221</v>
      </c>
      <c r="E49" s="67">
        <f ca="1" t="shared" si="7"/>
        <v>466.4236758116806</v>
      </c>
      <c r="F49" s="160">
        <f t="shared" si="8"/>
        <v>491.65132876229495</v>
      </c>
      <c r="G49" s="161">
        <f t="shared" si="9"/>
        <v>-25.227652950614356</v>
      </c>
      <c r="H49" s="36">
        <f t="shared" si="10"/>
        <v>584.7014392972167</v>
      </c>
      <c r="I49" s="36">
        <f t="shared" si="11"/>
        <v>614.5094396637429</v>
      </c>
      <c r="J49" s="160">
        <f t="shared" si="12"/>
        <v>614.7761109652292</v>
      </c>
      <c r="K49" s="161">
        <f t="shared" si="13"/>
        <v>-0.26667130148632623</v>
      </c>
    </row>
    <row r="50" spans="2:11" ht="12">
      <c r="B50" s="7"/>
      <c r="C50" s="137" t="s">
        <v>37</v>
      </c>
      <c r="D50" s="63">
        <f ca="1" t="shared" si="6"/>
        <v>623.8301783360798</v>
      </c>
      <c r="E50" s="67">
        <f ca="1" t="shared" si="7"/>
        <v>668.3295054255777</v>
      </c>
      <c r="F50" s="160">
        <f t="shared" si="8"/>
        <v>830.7817680540065</v>
      </c>
      <c r="G50" s="161">
        <f t="shared" si="9"/>
        <v>-162.4522626284288</v>
      </c>
      <c r="H50" s="36">
        <f t="shared" si="10"/>
        <v>643.5878181227432</v>
      </c>
      <c r="I50" s="36">
        <f t="shared" si="11"/>
        <v>650.4781323513381</v>
      </c>
      <c r="J50" s="160">
        <f t="shared" si="12"/>
        <v>671.8377672690851</v>
      </c>
      <c r="K50" s="161">
        <f t="shared" si="13"/>
        <v>-21.35963491774703</v>
      </c>
    </row>
    <row r="51" spans="2:11" ht="12">
      <c r="B51" s="7"/>
      <c r="C51" s="137" t="s">
        <v>87</v>
      </c>
      <c r="D51" s="63">
        <f ca="1" t="shared" si="6"/>
        <v>1646.592265479768</v>
      </c>
      <c r="E51" s="67">
        <f ca="1" t="shared" si="7"/>
        <v>2246.28356422734</v>
      </c>
      <c r="F51" s="160">
        <f t="shared" si="8"/>
        <v>2080.1012221779197</v>
      </c>
      <c r="G51" s="161">
        <f t="shared" si="9"/>
        <v>166.18234204942019</v>
      </c>
      <c r="H51" s="36">
        <f t="shared" si="10"/>
        <v>740.6463137586056</v>
      </c>
      <c r="I51" s="36">
        <f t="shared" si="11"/>
        <v>771.7032380324404</v>
      </c>
      <c r="J51" s="160">
        <f t="shared" si="12"/>
        <v>765.8886943222201</v>
      </c>
      <c r="K51" s="161">
        <f t="shared" si="13"/>
        <v>5.814543710220278</v>
      </c>
    </row>
    <row r="52" spans="2:11" ht="12">
      <c r="B52" s="7"/>
      <c r="C52" s="137" t="s">
        <v>38</v>
      </c>
      <c r="D52" s="63">
        <f ca="1" t="shared" si="6"/>
        <v>47.25407442636284</v>
      </c>
      <c r="E52" s="67">
        <f ca="1" t="shared" si="7"/>
        <v>65.86730537193552</v>
      </c>
      <c r="F52" s="160">
        <f t="shared" si="0"/>
        <v>126.48528263277771</v>
      </c>
      <c r="G52" s="161">
        <f t="shared" si="1"/>
        <v>-60.617977260842196</v>
      </c>
      <c r="H52" s="36">
        <f t="shared" si="2"/>
        <v>385.5538881467826</v>
      </c>
      <c r="I52" s="36">
        <f t="shared" si="3"/>
        <v>418.7642193540984</v>
      </c>
      <c r="J52" s="160">
        <f t="shared" si="4"/>
        <v>421.7995798192083</v>
      </c>
      <c r="K52" s="161">
        <f t="shared" si="5"/>
        <v>-3.0353604651099317</v>
      </c>
    </row>
    <row r="53" spans="2:11" ht="12">
      <c r="B53" s="7"/>
      <c r="C53" s="137" t="s">
        <v>42</v>
      </c>
      <c r="D53" s="63">
        <f ca="1" t="shared" si="6"/>
        <v>1129.650848854868</v>
      </c>
      <c r="E53" s="67">
        <f ca="1" t="shared" si="7"/>
        <v>1840.1172981744803</v>
      </c>
      <c r="F53" s="160">
        <f t="shared" si="0"/>
        <v>1448.6494148123516</v>
      </c>
      <c r="G53" s="161">
        <f t="shared" si="1"/>
        <v>391.46788336212876</v>
      </c>
      <c r="H53" s="36">
        <f t="shared" si="2"/>
        <v>702.9663880646931</v>
      </c>
      <c r="I53" s="36">
        <f t="shared" si="3"/>
        <v>751.758459757902</v>
      </c>
      <c r="J53" s="160">
        <f t="shared" si="4"/>
        <v>729.3763630771406</v>
      </c>
      <c r="K53" s="161">
        <f t="shared" si="5"/>
        <v>22.38209668076138</v>
      </c>
    </row>
    <row r="54" spans="2:11" ht="12">
      <c r="B54" s="7"/>
      <c r="C54" s="137" t="s">
        <v>39</v>
      </c>
      <c r="D54" s="63">
        <f ca="1" t="shared" si="6"/>
        <v>82.17316165166905</v>
      </c>
      <c r="E54" s="67">
        <f ca="1" t="shared" si="7"/>
        <v>136.88106912198703</v>
      </c>
      <c r="F54" s="160">
        <f t="shared" si="0"/>
        <v>169.13947908687052</v>
      </c>
      <c r="G54" s="161">
        <f t="shared" si="1"/>
        <v>-32.2584099648835</v>
      </c>
      <c r="H54" s="36">
        <f t="shared" si="2"/>
        <v>440.88287481612446</v>
      </c>
      <c r="I54" s="36">
        <f t="shared" si="3"/>
        <v>491.9112440205006</v>
      </c>
      <c r="J54" s="160">
        <f t="shared" si="4"/>
        <v>475.41407749991833</v>
      </c>
      <c r="K54" s="161">
        <f t="shared" si="5"/>
        <v>16.497166520582255</v>
      </c>
    </row>
    <row r="55" spans="2:11" ht="12">
      <c r="B55" s="7"/>
      <c r="C55" s="137" t="s">
        <v>45</v>
      </c>
      <c r="D55" s="63">
        <f ca="1" t="shared" si="6"/>
        <v>1199.97154104339</v>
      </c>
      <c r="E55" s="67">
        <f ca="1" t="shared" si="7"/>
        <v>2075.1230794779744</v>
      </c>
      <c r="F55" s="160">
        <f t="shared" si="0"/>
        <v>1534.547210480483</v>
      </c>
      <c r="G55" s="161">
        <f t="shared" si="1"/>
        <v>540.5758689974914</v>
      </c>
      <c r="H55" s="36">
        <f t="shared" si="2"/>
        <v>709.0053119697693</v>
      </c>
      <c r="I55" s="36">
        <f t="shared" si="3"/>
        <v>763.7775746316781</v>
      </c>
      <c r="J55" s="160">
        <f t="shared" si="4"/>
        <v>735.2281577907802</v>
      </c>
      <c r="K55" s="161">
        <f t="shared" si="5"/>
        <v>28.549416840897948</v>
      </c>
    </row>
    <row r="56" spans="2:11" ht="12">
      <c r="B56" s="7"/>
      <c r="C56" s="137" t="s">
        <v>88</v>
      </c>
      <c r="D56" s="63">
        <f ca="1" t="shared" si="6"/>
        <v>227.33198762040809</v>
      </c>
      <c r="E56" s="67">
        <f ca="1" t="shared" si="7"/>
        <v>260.09955829130774</v>
      </c>
      <c r="F56" s="160">
        <f t="shared" si="0"/>
        <v>346.45319407507117</v>
      </c>
      <c r="G56" s="161">
        <f t="shared" si="1"/>
        <v>-86.35363578376342</v>
      </c>
      <c r="H56" s="36">
        <f t="shared" si="2"/>
        <v>542.6411449599509</v>
      </c>
      <c r="I56" s="36">
        <f t="shared" si="3"/>
        <v>556.1064474226743</v>
      </c>
      <c r="J56" s="160">
        <f t="shared" si="4"/>
        <v>574.0191463262067</v>
      </c>
      <c r="K56" s="161">
        <f t="shared" si="5"/>
        <v>-17.912698903532487</v>
      </c>
    </row>
    <row r="57" spans="2:11" ht="12">
      <c r="B57" s="7"/>
      <c r="C57" s="137" t="s">
        <v>40</v>
      </c>
      <c r="D57" s="63">
        <f ca="1" t="shared" si="6"/>
        <v>116.8666703706734</v>
      </c>
      <c r="E57" s="67">
        <f ca="1" t="shared" si="7"/>
        <v>132.8232938931248</v>
      </c>
      <c r="F57" s="160">
        <f t="shared" si="0"/>
        <v>211.51812796259915</v>
      </c>
      <c r="G57" s="161">
        <f t="shared" si="1"/>
        <v>-78.69483406947435</v>
      </c>
      <c r="H57" s="36">
        <f t="shared" si="2"/>
        <v>476.103371551332</v>
      </c>
      <c r="I57" s="36">
        <f t="shared" si="3"/>
        <v>488.9019627482254</v>
      </c>
      <c r="J57" s="160">
        <f t="shared" si="4"/>
        <v>509.54319054166456</v>
      </c>
      <c r="K57" s="161">
        <f t="shared" si="5"/>
        <v>-20.641227793439157</v>
      </c>
    </row>
    <row r="58" spans="2:11" ht="12">
      <c r="B58" s="7"/>
      <c r="C58" s="137" t="s">
        <v>46</v>
      </c>
      <c r="D58" s="63">
        <f ca="1" t="shared" si="6"/>
        <v>592.5781598734467</v>
      </c>
      <c r="E58" s="67">
        <f ca="1" t="shared" si="7"/>
        <v>806.8084137255058</v>
      </c>
      <c r="F58" s="160">
        <f t="shared" si="0"/>
        <v>792.6069518999913</v>
      </c>
      <c r="G58" s="161">
        <f t="shared" si="1"/>
        <v>14.20146182551457</v>
      </c>
      <c r="H58" s="36">
        <f t="shared" si="2"/>
        <v>638.4482779707438</v>
      </c>
      <c r="I58" s="36">
        <f t="shared" si="3"/>
        <v>669.308623454019</v>
      </c>
      <c r="J58" s="160">
        <f t="shared" si="4"/>
        <v>666.8574869468363</v>
      </c>
      <c r="K58" s="161">
        <f t="shared" si="5"/>
        <v>2.451136507182696</v>
      </c>
    </row>
    <row r="59" spans="2:11" ht="12">
      <c r="B59" s="7"/>
      <c r="C59" s="137" t="s">
        <v>47</v>
      </c>
      <c r="D59" s="63">
        <f ca="1" t="shared" si="6"/>
        <v>1125.4959623655914</v>
      </c>
      <c r="E59" s="67">
        <f ca="1" t="shared" si="7"/>
        <v>1510.6185517826527</v>
      </c>
      <c r="F59" s="160">
        <f t="shared" si="0"/>
        <v>1443.574157735482</v>
      </c>
      <c r="G59" s="161">
        <f t="shared" si="1"/>
        <v>67.04439404717073</v>
      </c>
      <c r="H59" s="36">
        <f t="shared" si="2"/>
        <v>702.5979072926395</v>
      </c>
      <c r="I59" s="36">
        <f t="shared" si="3"/>
        <v>732.0274482872818</v>
      </c>
      <c r="J59" s="160">
        <f t="shared" si="4"/>
        <v>729.019300483229</v>
      </c>
      <c r="K59" s="161">
        <f t="shared" si="5"/>
        <v>3.0081478040527827</v>
      </c>
    </row>
    <row r="60" spans="2:11" ht="12">
      <c r="B60" s="7"/>
      <c r="C60" s="137" t="s">
        <v>48</v>
      </c>
      <c r="D60" s="63">
        <f ca="1" t="shared" si="6"/>
        <v>1185.5485197142652</v>
      </c>
      <c r="E60" s="67">
        <f ca="1" t="shared" si="7"/>
        <v>1616.357783388918</v>
      </c>
      <c r="F60" s="160">
        <f t="shared" si="0"/>
        <v>1516.929270433407</v>
      </c>
      <c r="G60" s="161">
        <f t="shared" si="1"/>
        <v>99.428512955511</v>
      </c>
      <c r="H60" s="36">
        <f t="shared" si="2"/>
        <v>707.7960832305455</v>
      </c>
      <c r="I60" s="36">
        <f t="shared" si="3"/>
        <v>738.7930615187496</v>
      </c>
      <c r="J60" s="160">
        <f t="shared" si="4"/>
        <v>734.0563996340293</v>
      </c>
      <c r="K60" s="161">
        <f t="shared" si="5"/>
        <v>4.73666188472032</v>
      </c>
    </row>
    <row r="61" spans="2:11" ht="12">
      <c r="B61" s="7"/>
      <c r="C61" s="137" t="s">
        <v>49</v>
      </c>
      <c r="D61" s="63">
        <f ca="1" t="shared" si="6"/>
        <v>872.2255681557193</v>
      </c>
      <c r="E61" s="67">
        <f ca="1" t="shared" si="7"/>
        <v>1259.6739771132927</v>
      </c>
      <c r="F61" s="160">
        <f t="shared" si="0"/>
        <v>1134.2005168688233</v>
      </c>
      <c r="G61" s="161">
        <f t="shared" si="1"/>
        <v>125.47346024446938</v>
      </c>
      <c r="H61" s="36">
        <f t="shared" si="2"/>
        <v>677.1048069534976</v>
      </c>
      <c r="I61" s="36">
        <f t="shared" si="3"/>
        <v>713.8608218141617</v>
      </c>
      <c r="J61" s="160">
        <f t="shared" si="4"/>
        <v>704.3161593038084</v>
      </c>
      <c r="K61" s="161">
        <f t="shared" si="5"/>
        <v>9.544662510353305</v>
      </c>
    </row>
    <row r="62" spans="2:11" ht="12">
      <c r="B62" s="7"/>
      <c r="C62" s="137" t="s">
        <v>50</v>
      </c>
      <c r="D62" s="63">
        <f ca="1" t="shared" si="6"/>
        <v>123.23488373576079</v>
      </c>
      <c r="E62" s="67">
        <f ca="1" t="shared" si="7"/>
        <v>160.2553011519446</v>
      </c>
      <c r="F62" s="160">
        <f t="shared" si="0"/>
        <v>219.29699750129555</v>
      </c>
      <c r="G62" s="161">
        <f t="shared" si="1"/>
        <v>-59.04169634935096</v>
      </c>
      <c r="H62" s="36">
        <f t="shared" si="2"/>
        <v>481.4092158226665</v>
      </c>
      <c r="I62" s="36">
        <f t="shared" si="3"/>
        <v>507.6768175764986</v>
      </c>
      <c r="J62" s="160">
        <f t="shared" si="4"/>
        <v>514.684621688411</v>
      </c>
      <c r="K62" s="161">
        <f t="shared" si="5"/>
        <v>-7.007804111912378</v>
      </c>
    </row>
    <row r="63" spans="2:11" ht="12">
      <c r="B63" s="7"/>
      <c r="C63" s="137" t="s">
        <v>89</v>
      </c>
      <c r="D63" s="63">
        <f ca="1" t="shared" si="6"/>
        <v>26.385383298192686</v>
      </c>
      <c r="E63" s="67">
        <f ca="1" t="shared" si="7"/>
        <v>56.92989307960225</v>
      </c>
      <c r="F63" s="160">
        <f t="shared" si="0"/>
        <v>100.99385883417219</v>
      </c>
      <c r="G63" s="161">
        <f t="shared" si="1"/>
        <v>-44.063965754569935</v>
      </c>
      <c r="H63" s="36">
        <f t="shared" si="2"/>
        <v>327.2810193877097</v>
      </c>
      <c r="I63" s="36">
        <f t="shared" si="3"/>
        <v>404.1820564858333</v>
      </c>
      <c r="J63" s="160">
        <f t="shared" si="4"/>
        <v>365.33242263805556</v>
      </c>
      <c r="K63" s="161">
        <f t="shared" si="5"/>
        <v>38.84963384777774</v>
      </c>
    </row>
    <row r="64" spans="2:11" ht="12">
      <c r="B64" s="7"/>
      <c r="C64" s="137" t="s">
        <v>51</v>
      </c>
      <c r="D64" s="63">
        <f ca="1" t="shared" si="6"/>
        <v>1990.236925044199</v>
      </c>
      <c r="E64" s="67">
        <f ca="1" t="shared" si="7"/>
        <v>2490.07833620458</v>
      </c>
      <c r="F64" s="160">
        <f t="shared" si="0"/>
        <v>2499.8684035158776</v>
      </c>
      <c r="G64" s="161">
        <f t="shared" si="1"/>
        <v>-9.790067311297662</v>
      </c>
      <c r="H64" s="36">
        <f t="shared" si="2"/>
        <v>759.6008968442875</v>
      </c>
      <c r="I64" s="36">
        <f t="shared" si="3"/>
        <v>782.0069449287013</v>
      </c>
      <c r="J64" s="160">
        <f t="shared" si="4"/>
        <v>784.2559284260975</v>
      </c>
      <c r="K64" s="161">
        <f t="shared" si="5"/>
        <v>-2.248983497396239</v>
      </c>
    </row>
    <row r="65" spans="2:11" ht="12">
      <c r="B65" s="7"/>
      <c r="C65" s="137" t="s">
        <v>52</v>
      </c>
      <c r="D65" s="63">
        <f ca="1" t="shared" si="6"/>
        <v>588.958966406592</v>
      </c>
      <c r="E65" s="67">
        <f ca="1" t="shared" si="7"/>
        <v>696.9892223060882</v>
      </c>
      <c r="F65" s="160">
        <f t="shared" si="0"/>
        <v>788.1860520023355</v>
      </c>
      <c r="G65" s="161">
        <f t="shared" si="1"/>
        <v>-91.19682969624728</v>
      </c>
      <c r="H65" s="36">
        <f t="shared" si="2"/>
        <v>637.8356514682472</v>
      </c>
      <c r="I65" s="36">
        <f t="shared" si="3"/>
        <v>654.6769947665488</v>
      </c>
      <c r="J65" s="160">
        <f t="shared" si="4"/>
        <v>666.2638440089394</v>
      </c>
      <c r="K65" s="161">
        <f t="shared" si="5"/>
        <v>-11.586849242390599</v>
      </c>
    </row>
    <row r="66" spans="2:11" ht="12">
      <c r="B66" s="7"/>
      <c r="C66" s="137" t="s">
        <v>90</v>
      </c>
      <c r="D66" s="63">
        <f ca="1" t="shared" si="6"/>
        <v>321.3040036490409</v>
      </c>
      <c r="E66" s="67">
        <f ca="1" t="shared" si="7"/>
        <v>502.8038002327593</v>
      </c>
      <c r="F66" s="162">
        <f t="shared" si="0"/>
        <v>461.24144174632204</v>
      </c>
      <c r="G66" s="163">
        <f t="shared" si="1"/>
        <v>41.56235848643723</v>
      </c>
      <c r="H66" s="36">
        <f t="shared" si="2"/>
        <v>577.2387726825507</v>
      </c>
      <c r="I66" s="36">
        <f t="shared" si="3"/>
        <v>622.0200034827465</v>
      </c>
      <c r="J66" s="162">
        <f t="shared" si="4"/>
        <v>607.5446913063975</v>
      </c>
      <c r="K66" s="163">
        <f t="shared" si="5"/>
        <v>14.475312176349007</v>
      </c>
    </row>
    <row r="67" spans="2:6" ht="12">
      <c r="B67" s="4"/>
      <c r="C67" s="4"/>
      <c r="D67" s="4"/>
      <c r="E67" s="4"/>
      <c r="F67" s="4"/>
    </row>
    <row r="68" spans="2:14" ht="12">
      <c r="B68" s="4"/>
      <c r="C68" s="155" t="s">
        <v>1</v>
      </c>
      <c r="D68" s="67">
        <f>COUNT(D17:D66)</f>
        <v>50</v>
      </c>
      <c r="E68" s="67">
        <f>COUNT(E17:E66)</f>
        <v>50</v>
      </c>
      <c r="F68"/>
      <c r="K68" s="4"/>
      <c r="L68" s="4"/>
      <c r="M68" s="4"/>
      <c r="N68" s="4"/>
    </row>
    <row r="69" spans="2:14" ht="12">
      <c r="B69" s="4"/>
      <c r="C69" s="155" t="s">
        <v>4</v>
      </c>
      <c r="D69" s="156">
        <f>AVERAGE(D17:D66)</f>
        <v>638.5738499189824</v>
      </c>
      <c r="E69" s="156">
        <f>AVERAGE(E17:E66)</f>
        <v>848.7913872658169</v>
      </c>
      <c r="F69"/>
      <c r="K69" s="4"/>
      <c r="L69" s="4"/>
      <c r="M69" s="4"/>
      <c r="N69" s="4"/>
    </row>
    <row r="70" spans="2:14" ht="12">
      <c r="B70" s="4"/>
      <c r="C70" s="155" t="s">
        <v>2</v>
      </c>
      <c r="D70" s="156">
        <f>STDEV(D17:D66)</f>
        <v>951.6733357467581</v>
      </c>
      <c r="E70" s="156">
        <f>STDEV(E17:E66)</f>
        <v>1173.4041608736031</v>
      </c>
      <c r="F70"/>
      <c r="K70" s="4"/>
      <c r="L70" s="4"/>
      <c r="M70" s="4"/>
      <c r="N70" s="4"/>
    </row>
    <row r="71" spans="2:14" ht="12">
      <c r="B71" s="4"/>
      <c r="G71" s="149"/>
      <c r="H71" s="150" t="s">
        <v>178</v>
      </c>
      <c r="I71" s="150" t="s">
        <v>179</v>
      </c>
      <c r="K71" s="4"/>
      <c r="L71" s="4"/>
      <c r="M71" s="4"/>
      <c r="N71" s="4"/>
    </row>
    <row r="72" spans="2:14" ht="12">
      <c r="B72" s="4"/>
      <c r="G72" s="112" t="s">
        <v>174</v>
      </c>
      <c r="H72" s="143">
        <f>E12</f>
        <v>1.35</v>
      </c>
      <c r="I72" s="144">
        <f>EXP(INTERCEPT(I17:I66,H17:H66)/100)</f>
        <v>1.6191951009289416</v>
      </c>
      <c r="J72" s="2"/>
      <c r="K72" s="4"/>
      <c r="L72" s="4"/>
      <c r="M72" s="7"/>
      <c r="N72" s="7"/>
    </row>
    <row r="73" spans="2:14" ht="12">
      <c r="B73" s="4"/>
      <c r="G73" s="112" t="s">
        <v>175</v>
      </c>
      <c r="H73" s="143">
        <f>E13</f>
        <v>1</v>
      </c>
      <c r="I73" s="144">
        <f>SLOPE(I17:I66,H17:H66)</f>
        <v>0.9690128250698319</v>
      </c>
      <c r="J73" s="2"/>
      <c r="K73" s="4"/>
      <c r="L73" s="4"/>
      <c r="M73" s="6"/>
      <c r="N73" s="6"/>
    </row>
    <row r="74" spans="2:14" ht="12">
      <c r="B74" s="4"/>
      <c r="G74" s="112" t="s">
        <v>176</v>
      </c>
      <c r="H74" s="143">
        <f>E14</f>
        <v>20</v>
      </c>
      <c r="I74" s="88">
        <f>100*(EXP(STEYX(I17:I66,H17:H66)/100)-1)</f>
        <v>17.52444642730657</v>
      </c>
      <c r="J74" s="2"/>
      <c r="K74" s="4"/>
      <c r="L74" s="4"/>
      <c r="M74" s="6"/>
      <c r="N74" s="6"/>
    </row>
    <row r="75" spans="2:10" ht="12">
      <c r="B75" s="4"/>
      <c r="G75" s="112" t="s">
        <v>177</v>
      </c>
      <c r="H75" s="145">
        <f>E13*LN(1+D11/100)/SQRT((E13*LN(1+D11/100))^2+LN(1+E14/100)^2)</f>
        <v>0.9865073391816752</v>
      </c>
      <c r="I75" s="144">
        <f>CORREL(I17:I66,H17:H66)</f>
        <v>0.9910618934547546</v>
      </c>
      <c r="J75" s="2"/>
    </row>
    <row r="76" spans="2:7" ht="12">
      <c r="B76" s="4"/>
      <c r="C76" s="38"/>
      <c r="D76" s="146"/>
      <c r="G76" s="3"/>
    </row>
    <row r="77" spans="2:9" ht="12">
      <c r="B77" s="4"/>
      <c r="E77"/>
      <c r="F77"/>
      <c r="G77" s="153" t="s">
        <v>189</v>
      </c>
      <c r="H77" s="74"/>
      <c r="I77" s="154"/>
    </row>
    <row r="78" spans="4:9" ht="12">
      <c r="D78" s="151"/>
      <c r="E78" s="151" t="s">
        <v>106</v>
      </c>
      <c r="F78" s="74" t="s">
        <v>185</v>
      </c>
      <c r="G78" s="157" t="s">
        <v>194</v>
      </c>
      <c r="H78" s="157" t="s">
        <v>195</v>
      </c>
      <c r="I78" s="158"/>
    </row>
    <row r="79" spans="4:9" ht="12">
      <c r="D79" s="40" t="s">
        <v>182</v>
      </c>
      <c r="E79" s="71">
        <f>MIN(D17:D66)</f>
        <v>22.81432440713746</v>
      </c>
      <c r="F79" s="159">
        <f>$I$72*E79^$I$73</f>
        <v>33.52893639440657</v>
      </c>
      <c r="G79" s="159">
        <f>E79/F79</f>
        <v>0.6804368661972657</v>
      </c>
      <c r="H79" s="79">
        <f>100*(G79-1)</f>
        <v>-31.95631338027343</v>
      </c>
      <c r="I79" s="23" t="s">
        <v>187</v>
      </c>
    </row>
    <row r="80" spans="4:9" ht="12">
      <c r="D80" s="60" t="s">
        <v>184</v>
      </c>
      <c r="E80" s="125">
        <f>AVERAGE(D17:D66)</f>
        <v>638.5738499189824</v>
      </c>
      <c r="F80" s="138">
        <f>$I$72*E80^$I$73</f>
        <v>846.4177125301616</v>
      </c>
      <c r="G80" s="138">
        <f>E80/F80</f>
        <v>0.7544429192178882</v>
      </c>
      <c r="H80" s="81">
        <f>100*(G80-1)</f>
        <v>-24.55570807821118</v>
      </c>
      <c r="I80" s="148" t="s">
        <v>186</v>
      </c>
    </row>
    <row r="81" spans="4:9" ht="12">
      <c r="D81" s="60" t="s">
        <v>183</v>
      </c>
      <c r="E81" s="125">
        <f>MAX(D17:D66)</f>
        <v>6286.267144346366</v>
      </c>
      <c r="F81" s="138">
        <f>$I$72*E81^$I$73</f>
        <v>7762.30227991649</v>
      </c>
      <c r="G81" s="138">
        <f>E81/F81</f>
        <v>0.809845702686806</v>
      </c>
      <c r="H81" s="81">
        <f>100*(G81-1)</f>
        <v>-19.0154297313194</v>
      </c>
      <c r="I81" s="25" t="s">
        <v>188</v>
      </c>
    </row>
    <row r="84" spans="2:6" ht="12">
      <c r="B84" s="2"/>
      <c r="C84" s="1"/>
      <c r="D84" s="1"/>
      <c r="F84" s="4"/>
    </row>
    <row r="85" spans="2:6" ht="12">
      <c r="B85" s="2"/>
      <c r="C85" s="1"/>
      <c r="D85" s="1"/>
      <c r="F85" s="4"/>
    </row>
    <row r="86" ht="12">
      <c r="E86" s="4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X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12" max="12" width="3.8515625" style="0" customWidth="1"/>
    <col min="13" max="13" width="7.140625" style="0" customWidth="1"/>
    <col min="14" max="14" width="7.7109375" style="0" customWidth="1"/>
    <col min="15" max="15" width="8.57421875" style="0" customWidth="1"/>
    <col min="16" max="16" width="5.8515625" style="0" customWidth="1"/>
    <col min="17" max="17" width="3.00390625" style="0" customWidth="1"/>
    <col min="18" max="18" width="6.7109375" style="0" customWidth="1"/>
    <col min="19" max="19" width="5.8515625" style="0" customWidth="1"/>
    <col min="20" max="21" width="6.57421875" style="0" customWidth="1"/>
    <col min="22" max="22" width="6.7109375" style="0" customWidth="1"/>
    <col min="23" max="23" width="7.140625" style="0" customWidth="1"/>
    <col min="24" max="24" width="3.140625" style="0" customWidth="1"/>
  </cols>
  <sheetData>
    <row r="1" spans="2:4" ht="12">
      <c r="B1" t="s">
        <v>208</v>
      </c>
      <c r="D1" s="3"/>
    </row>
    <row r="2" spans="2:4" ht="12">
      <c r="B2" t="s">
        <v>218</v>
      </c>
      <c r="C2" s="3"/>
      <c r="D2" s="3"/>
    </row>
    <row r="3" spans="2:4" ht="12">
      <c r="B3" t="s">
        <v>219</v>
      </c>
      <c r="C3" s="3"/>
      <c r="D3" s="3"/>
    </row>
    <row r="4" spans="2:4" ht="12">
      <c r="B4" t="s">
        <v>298</v>
      </c>
      <c r="C4" s="3"/>
      <c r="D4" s="3"/>
    </row>
    <row r="5" spans="2:4" ht="12">
      <c r="B5" t="s">
        <v>299</v>
      </c>
      <c r="C5" s="3"/>
      <c r="D5" s="3"/>
    </row>
    <row r="6" spans="2:4" ht="12">
      <c r="B6" t="s">
        <v>297</v>
      </c>
      <c r="C6" s="3"/>
      <c r="D6" s="3"/>
    </row>
    <row r="7" spans="2:4" ht="12.75">
      <c r="B7" s="9" t="s">
        <v>322</v>
      </c>
      <c r="C7" s="3"/>
      <c r="D7" s="3"/>
    </row>
    <row r="8" spans="2:11" ht="12">
      <c r="B8" s="2" t="s">
        <v>110</v>
      </c>
      <c r="C8" s="18"/>
      <c r="D8" s="19"/>
      <c r="E8" s="11"/>
      <c r="F8" s="20"/>
      <c r="G8" s="21"/>
      <c r="H8" s="22"/>
      <c r="I8" s="23"/>
      <c r="J8" s="25"/>
      <c r="K8" s="49"/>
    </row>
    <row r="10" ht="12">
      <c r="B10" t="s">
        <v>209</v>
      </c>
    </row>
    <row r="11" spans="2:6" ht="12">
      <c r="B11" s="18" t="s">
        <v>210</v>
      </c>
      <c r="C11" s="27"/>
      <c r="E11" s="20" t="s">
        <v>211</v>
      </c>
      <c r="F11" s="20"/>
    </row>
    <row r="12" spans="2:6" ht="27.75" customHeight="1">
      <c r="B12" s="26"/>
      <c r="C12" s="26" t="s">
        <v>3</v>
      </c>
      <c r="E12" s="65"/>
      <c r="F12" s="65" t="s">
        <v>3</v>
      </c>
    </row>
    <row r="13" spans="2:6" ht="12">
      <c r="B13" s="61" t="s">
        <v>113</v>
      </c>
      <c r="C13" s="85">
        <v>350</v>
      </c>
      <c r="E13" s="93" t="s">
        <v>113</v>
      </c>
      <c r="F13" s="86">
        <v>400</v>
      </c>
    </row>
    <row r="14" spans="2:10" ht="12">
      <c r="B14" s="61" t="s">
        <v>114</v>
      </c>
      <c r="C14" s="85">
        <v>50</v>
      </c>
      <c r="E14" s="93" t="s">
        <v>114</v>
      </c>
      <c r="F14" s="86">
        <v>70</v>
      </c>
      <c r="H14" s="22"/>
      <c r="I14" s="22" t="str">
        <f>B11</f>
        <v>FEMALES</v>
      </c>
      <c r="J14" s="22" t="str">
        <f>E11</f>
        <v>MALES</v>
      </c>
    </row>
    <row r="15" spans="2:24" ht="12">
      <c r="B15" s="12" t="s">
        <v>115</v>
      </c>
      <c r="C15" s="172">
        <f>AVERAGE(C19:C56)</f>
        <v>335.21920682322724</v>
      </c>
      <c r="E15" s="107" t="s">
        <v>115</v>
      </c>
      <c r="F15" s="176">
        <f>AVERAGE(F19:F50)</f>
        <v>377.10121549649193</v>
      </c>
      <c r="H15" s="22" t="s">
        <v>4</v>
      </c>
      <c r="I15" s="283">
        <f>C15</f>
        <v>335.21920682322724</v>
      </c>
      <c r="J15" s="283">
        <f>F15</f>
        <v>377.10121549649193</v>
      </c>
      <c r="L15" s="298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300"/>
    </row>
    <row r="16" spans="2:24" ht="12">
      <c r="B16" s="12" t="s">
        <v>116</v>
      </c>
      <c r="C16" s="172">
        <f>STDEV(C19:C56)</f>
        <v>51.12310996345673</v>
      </c>
      <c r="E16" s="107" t="s">
        <v>116</v>
      </c>
      <c r="F16" s="176">
        <f>STDEV(F19:F50)</f>
        <v>60.48360519747638</v>
      </c>
      <c r="H16" s="22" t="s">
        <v>2</v>
      </c>
      <c r="I16" s="283">
        <f>C16</f>
        <v>51.12310996345673</v>
      </c>
      <c r="J16" s="283">
        <f>F16</f>
        <v>60.48360519747638</v>
      </c>
      <c r="L16" s="302"/>
      <c r="M16" s="306"/>
      <c r="N16" s="307"/>
      <c r="O16" s="308" t="s">
        <v>319</v>
      </c>
      <c r="P16" s="309">
        <f>F13-C13</f>
        <v>50</v>
      </c>
      <c r="Q16" s="282"/>
      <c r="R16" s="282"/>
      <c r="S16" s="282"/>
      <c r="T16" s="282"/>
      <c r="U16" s="282"/>
      <c r="V16" s="282"/>
      <c r="W16" s="282"/>
      <c r="X16" s="301"/>
    </row>
    <row r="17" spans="2:24" ht="12.75" customHeight="1">
      <c r="B17" s="12" t="s">
        <v>118</v>
      </c>
      <c r="C17" s="174">
        <f>COUNT(C19:C56)</f>
        <v>38</v>
      </c>
      <c r="E17" s="107" t="s">
        <v>118</v>
      </c>
      <c r="F17" s="109">
        <f>COUNT(F19:F50)</f>
        <v>32</v>
      </c>
      <c r="L17" s="302"/>
      <c r="M17" s="306"/>
      <c r="N17" s="307"/>
      <c r="O17" s="310" t="s">
        <v>318</v>
      </c>
      <c r="P17" s="311">
        <f>F15-C15</f>
        <v>41.88200867326469</v>
      </c>
      <c r="Q17" s="282"/>
      <c r="R17" s="317" t="s">
        <v>324</v>
      </c>
      <c r="S17" s="317"/>
      <c r="T17" s="317"/>
      <c r="U17" s="317"/>
      <c r="V17" s="318" t="s">
        <v>321</v>
      </c>
      <c r="W17" s="319" t="s">
        <v>320</v>
      </c>
      <c r="X17" s="301"/>
    </row>
    <row r="18" spans="2:24" ht="12">
      <c r="B18" s="38"/>
      <c r="C18" s="39"/>
      <c r="E18" s="38"/>
      <c r="F18" s="39"/>
      <c r="L18" s="302"/>
      <c r="M18" s="306"/>
      <c r="N18" s="307"/>
      <c r="O18" s="308" t="s">
        <v>123</v>
      </c>
      <c r="P18" s="312">
        <v>90</v>
      </c>
      <c r="Q18" s="282"/>
      <c r="R18" s="320" t="s">
        <v>313</v>
      </c>
      <c r="S18" s="320" t="s">
        <v>316</v>
      </c>
      <c r="T18" s="320" t="s">
        <v>314</v>
      </c>
      <c r="U18" s="320" t="s">
        <v>317</v>
      </c>
      <c r="V18" s="321" t="s">
        <v>317</v>
      </c>
      <c r="W18" s="322" t="s">
        <v>315</v>
      </c>
      <c r="X18" s="301"/>
    </row>
    <row r="19" spans="2:24" ht="12">
      <c r="B19" s="168" t="s">
        <v>22</v>
      </c>
      <c r="C19" s="169">
        <f ca="1">$C$13+$C$14*NORMSINV(RAND())</f>
        <v>361.3075593148644</v>
      </c>
      <c r="E19" s="35" t="s">
        <v>45</v>
      </c>
      <c r="F19" s="156">
        <f ca="1">$F$13+$F$14*NORMSINV(RAND())</f>
        <v>407.1912790534195</v>
      </c>
      <c r="L19" s="302"/>
      <c r="M19" s="282"/>
      <c r="N19" s="282"/>
      <c r="O19" s="313" t="s">
        <v>119</v>
      </c>
      <c r="P19" s="314">
        <f>P17-TINV(1-P18/100,W19)*V19</f>
        <v>19.281584555077654</v>
      </c>
      <c r="Q19" s="282"/>
      <c r="R19" s="320">
        <f>C17-1</f>
        <v>37</v>
      </c>
      <c r="S19" s="323">
        <f>C16/SQRT(C17)</f>
        <v>8.293263550896196</v>
      </c>
      <c r="T19" s="320">
        <f>F17-1</f>
        <v>31</v>
      </c>
      <c r="U19" s="323">
        <f>F16/SQRT(F17)</f>
        <v>10.692091846436364</v>
      </c>
      <c r="V19" s="323">
        <f>SQRT(S19^2+U19^2)</f>
        <v>13.531409696600512</v>
      </c>
      <c r="W19" s="324">
        <f>(S19^2+U19^2)^2/(S19^4/(R19)+U19^4/(T19))</f>
        <v>61.01730383529846</v>
      </c>
      <c r="X19" s="301"/>
    </row>
    <row r="20" spans="2:24" ht="12">
      <c r="B20" s="62" t="s">
        <v>68</v>
      </c>
      <c r="C20" s="170">
        <f aca="true" ca="1" t="shared" si="0" ref="C20:C56">$C$13+$C$14*NORMSINV(RAND())</f>
        <v>279.0657476778355</v>
      </c>
      <c r="E20" s="20" t="s">
        <v>88</v>
      </c>
      <c r="F20" s="156">
        <f aca="true" ca="1" t="shared" si="1" ref="F20:F50">$F$13+$F$14*NORMSINV(RAND())</f>
        <v>410.74407035100677</v>
      </c>
      <c r="L20" s="302"/>
      <c r="M20" s="282"/>
      <c r="N20" s="282"/>
      <c r="O20" s="315" t="s">
        <v>120</v>
      </c>
      <c r="P20" s="316">
        <f>P17+TINV(1-P18/100,W19)*V19</f>
        <v>64.48243279145173</v>
      </c>
      <c r="Q20" s="282"/>
      <c r="R20" s="282"/>
      <c r="S20" s="282"/>
      <c r="T20" s="282"/>
      <c r="U20" s="282"/>
      <c r="V20" s="282"/>
      <c r="W20" s="282"/>
      <c r="X20" s="301"/>
    </row>
    <row r="21" spans="2:24" ht="12">
      <c r="B21" s="62" t="s">
        <v>69</v>
      </c>
      <c r="C21" s="170">
        <f ca="1" t="shared" si="0"/>
        <v>362.27567235334305</v>
      </c>
      <c r="E21" s="20" t="s">
        <v>40</v>
      </c>
      <c r="F21" s="156">
        <f ca="1" t="shared" si="1"/>
        <v>380.5206444901976</v>
      </c>
      <c r="L21" s="302"/>
      <c r="M21" s="282"/>
      <c r="N21" s="282"/>
      <c r="O21" s="315" t="s">
        <v>323</v>
      </c>
      <c r="P21" s="316">
        <f>(P20-P19)/2</f>
        <v>22.600424118187036</v>
      </c>
      <c r="Q21" s="282"/>
      <c r="R21" s="282"/>
      <c r="S21" s="282"/>
      <c r="T21" s="282"/>
      <c r="U21" s="282"/>
      <c r="V21" s="282"/>
      <c r="W21" s="282"/>
      <c r="X21" s="301"/>
    </row>
    <row r="22" spans="2:24" ht="12">
      <c r="B22" s="62" t="s">
        <v>23</v>
      </c>
      <c r="C22" s="170">
        <f ca="1" t="shared" si="0"/>
        <v>351.1578876155964</v>
      </c>
      <c r="E22" s="20" t="s">
        <v>46</v>
      </c>
      <c r="F22" s="156">
        <f ca="1" t="shared" si="1"/>
        <v>377.1227898762009</v>
      </c>
      <c r="L22" s="303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5"/>
    </row>
    <row r="23" spans="2:6" ht="12">
      <c r="B23" s="62" t="s">
        <v>24</v>
      </c>
      <c r="C23" s="170">
        <f ca="1" t="shared" si="0"/>
        <v>317.11038652207674</v>
      </c>
      <c r="E23" s="20" t="s">
        <v>47</v>
      </c>
      <c r="F23" s="156">
        <f ca="1" t="shared" si="1"/>
        <v>327.8481444191495</v>
      </c>
    </row>
    <row r="24" spans="2:6" ht="12">
      <c r="B24" s="62" t="s">
        <v>70</v>
      </c>
      <c r="C24" s="170">
        <f ca="1" t="shared" si="0"/>
        <v>324.8611219224064</v>
      </c>
      <c r="E24" s="20" t="s">
        <v>48</v>
      </c>
      <c r="F24" s="156">
        <f ca="1" t="shared" si="1"/>
        <v>404.5860594245333</v>
      </c>
    </row>
    <row r="25" spans="2:6" ht="12">
      <c r="B25" s="62" t="s">
        <v>71</v>
      </c>
      <c r="C25" s="170">
        <f ca="1" t="shared" si="0"/>
        <v>306.7031683077245</v>
      </c>
      <c r="E25" s="20" t="s">
        <v>49</v>
      </c>
      <c r="F25" s="156">
        <f ca="1" t="shared" si="1"/>
        <v>354.5293987137918</v>
      </c>
    </row>
    <row r="26" spans="2:6" ht="12">
      <c r="B26" s="62" t="s">
        <v>72</v>
      </c>
      <c r="C26" s="170">
        <f ca="1" t="shared" si="0"/>
        <v>319.79910423491674</v>
      </c>
      <c r="E26" s="20" t="s">
        <v>50</v>
      </c>
      <c r="F26" s="156">
        <f ca="1" t="shared" si="1"/>
        <v>320.9230642908926</v>
      </c>
    </row>
    <row r="27" spans="2:6" ht="12">
      <c r="B27" s="62" t="s">
        <v>73</v>
      </c>
      <c r="C27" s="170">
        <f ca="1" t="shared" si="0"/>
        <v>269.18767105709867</v>
      </c>
      <c r="E27" s="20" t="s">
        <v>89</v>
      </c>
      <c r="F27" s="156">
        <f ca="1" t="shared" si="1"/>
        <v>298.89577109522656</v>
      </c>
    </row>
    <row r="28" spans="2:6" ht="12">
      <c r="B28" s="62" t="s">
        <v>74</v>
      </c>
      <c r="C28" s="170">
        <f ca="1" t="shared" si="0"/>
        <v>358.4029040982491</v>
      </c>
      <c r="E28" s="20" t="s">
        <v>51</v>
      </c>
      <c r="F28" s="156">
        <f ca="1" t="shared" si="1"/>
        <v>397.13468243964917</v>
      </c>
    </row>
    <row r="29" spans="2:6" ht="12">
      <c r="B29" s="62" t="s">
        <v>25</v>
      </c>
      <c r="C29" s="170">
        <f ca="1" t="shared" si="0"/>
        <v>310.86036951334063</v>
      </c>
      <c r="E29" s="20" t="s">
        <v>52</v>
      </c>
      <c r="F29" s="156">
        <f ca="1" t="shared" si="1"/>
        <v>345.13377746794424</v>
      </c>
    </row>
    <row r="30" spans="2:6" ht="12">
      <c r="B30" s="62" t="s">
        <v>75</v>
      </c>
      <c r="C30" s="170">
        <f ca="1" t="shared" si="0"/>
        <v>331.5512465804618</v>
      </c>
      <c r="E30" s="20" t="s">
        <v>90</v>
      </c>
      <c r="F30" s="156">
        <f ca="1" t="shared" si="1"/>
        <v>423.74381871488873</v>
      </c>
    </row>
    <row r="31" spans="2:6" ht="12">
      <c r="B31" s="62" t="s">
        <v>76</v>
      </c>
      <c r="C31" s="170">
        <f ca="1" t="shared" si="0"/>
        <v>331.56025665851143</v>
      </c>
      <c r="E31" s="20" t="s">
        <v>93</v>
      </c>
      <c r="F31" s="156">
        <f ca="1" t="shared" si="1"/>
        <v>352.807134523429</v>
      </c>
    </row>
    <row r="32" spans="2:6" ht="12">
      <c r="B32" s="62" t="s">
        <v>26</v>
      </c>
      <c r="C32" s="170">
        <f ca="1" t="shared" si="0"/>
        <v>375.2005546646568</v>
      </c>
      <c r="E32" s="20" t="s">
        <v>53</v>
      </c>
      <c r="F32" s="156">
        <f ca="1" t="shared" si="1"/>
        <v>422.8966493032229</v>
      </c>
    </row>
    <row r="33" spans="2:10" ht="12">
      <c r="B33" s="62" t="s">
        <v>77</v>
      </c>
      <c r="C33" s="170">
        <f ca="1" t="shared" si="0"/>
        <v>273.86529925146954</v>
      </c>
      <c r="E33" s="20" t="s">
        <v>54</v>
      </c>
      <c r="F33" s="156">
        <f ca="1" t="shared" si="1"/>
        <v>375.0268024386527</v>
      </c>
      <c r="I33" s="40" t="s">
        <v>214</v>
      </c>
      <c r="J33" s="79">
        <f>F15-C15</f>
        <v>41.88200867326469</v>
      </c>
    </row>
    <row r="34" spans="2:10" ht="12">
      <c r="B34" s="62" t="s">
        <v>27</v>
      </c>
      <c r="C34" s="170">
        <f ca="1" t="shared" si="0"/>
        <v>301.56565891428335</v>
      </c>
      <c r="E34" s="20" t="s">
        <v>55</v>
      </c>
      <c r="F34" s="156">
        <f ca="1" t="shared" si="1"/>
        <v>488.9171384653701</v>
      </c>
      <c r="I34" s="40" t="s">
        <v>212</v>
      </c>
      <c r="J34" s="284">
        <f>TTEST(C19:C56,F19:F50,2,3)</f>
        <v>0.002968449882966324</v>
      </c>
    </row>
    <row r="35" spans="2:10" ht="12">
      <c r="B35" s="62" t="s">
        <v>78</v>
      </c>
      <c r="C35" s="170">
        <f ca="1" t="shared" si="0"/>
        <v>374.6333208570885</v>
      </c>
      <c r="E35" s="20" t="s">
        <v>94</v>
      </c>
      <c r="F35" s="156">
        <f ca="1" t="shared" si="1"/>
        <v>252.7795856680266</v>
      </c>
      <c r="I35" s="40" t="s">
        <v>213</v>
      </c>
      <c r="J35" s="41">
        <f>C17-1+F17-1</f>
        <v>68</v>
      </c>
    </row>
    <row r="36" spans="2:6" ht="12">
      <c r="B36" s="62" t="s">
        <v>28</v>
      </c>
      <c r="C36" s="170">
        <f ca="1" t="shared" si="0"/>
        <v>375.23737617876463</v>
      </c>
      <c r="E36" s="20" t="s">
        <v>56</v>
      </c>
      <c r="F36" s="156">
        <f ca="1" t="shared" si="1"/>
        <v>283.74575579979404</v>
      </c>
    </row>
    <row r="37" spans="2:10" ht="12">
      <c r="B37" s="62" t="s">
        <v>29</v>
      </c>
      <c r="C37" s="170">
        <f ca="1" t="shared" si="0"/>
        <v>363.60728495667826</v>
      </c>
      <c r="E37" s="20" t="s">
        <v>95</v>
      </c>
      <c r="F37" s="156">
        <f ca="1" t="shared" si="1"/>
        <v>331.17960011374265</v>
      </c>
      <c r="I37" s="60" t="s">
        <v>338</v>
      </c>
      <c r="J37" s="123">
        <f>C16</f>
        <v>51.12310996345673</v>
      </c>
    </row>
    <row r="38" spans="2:10" ht="12">
      <c r="B38" s="62" t="s">
        <v>79</v>
      </c>
      <c r="C38" s="170">
        <f ca="1" t="shared" si="0"/>
        <v>357.05216578226316</v>
      </c>
      <c r="E38" s="20" t="s">
        <v>96</v>
      </c>
      <c r="F38" s="156">
        <f ca="1" t="shared" si="1"/>
        <v>491.5065627157547</v>
      </c>
      <c r="I38" s="60" t="s">
        <v>301</v>
      </c>
      <c r="J38" s="138">
        <f>J33/J37</f>
        <v>0.8192382799716672</v>
      </c>
    </row>
    <row r="39" spans="2:6" ht="12">
      <c r="B39" s="62" t="s">
        <v>80</v>
      </c>
      <c r="C39" s="170">
        <f ca="1" t="shared" si="0"/>
        <v>451.9939500893722</v>
      </c>
      <c r="E39" s="20" t="s">
        <v>57</v>
      </c>
      <c r="F39" s="156">
        <f ca="1" t="shared" si="1"/>
        <v>448.3136308846058</v>
      </c>
    </row>
    <row r="40" spans="2:8" ht="12">
      <c r="B40" s="62" t="s">
        <v>30</v>
      </c>
      <c r="C40" s="170">
        <f ca="1" t="shared" si="0"/>
        <v>380.62688716017414</v>
      </c>
      <c r="E40" s="20" t="s">
        <v>58</v>
      </c>
      <c r="F40" s="156">
        <f ca="1" t="shared" si="1"/>
        <v>456.3883959246065</v>
      </c>
      <c r="H40" t="s">
        <v>295</v>
      </c>
    </row>
    <row r="41" spans="2:8" ht="12">
      <c r="B41" s="62" t="s">
        <v>81</v>
      </c>
      <c r="C41" s="170">
        <f ca="1" t="shared" si="0"/>
        <v>453.36162202560337</v>
      </c>
      <c r="E41" s="20" t="s">
        <v>97</v>
      </c>
      <c r="F41" s="156">
        <f ca="1" t="shared" si="1"/>
        <v>360.0611590124446</v>
      </c>
      <c r="H41" t="s">
        <v>296</v>
      </c>
    </row>
    <row r="42" spans="2:20" ht="12.75" thickBot="1">
      <c r="B42" s="62" t="s">
        <v>31</v>
      </c>
      <c r="C42" s="170">
        <f ca="1" t="shared" si="0"/>
        <v>299.309700749842</v>
      </c>
      <c r="E42" s="20" t="s">
        <v>59</v>
      </c>
      <c r="F42" s="156">
        <f ca="1" t="shared" si="1"/>
        <v>393.2987844563702</v>
      </c>
      <c r="J42" s="50"/>
      <c r="K42" s="51"/>
      <c r="L42" s="51"/>
      <c r="M42" s="51"/>
      <c r="N42" s="51"/>
      <c r="O42" s="51"/>
      <c r="P42" s="51"/>
      <c r="Q42" s="51"/>
      <c r="R42" s="51"/>
      <c r="S42" s="51"/>
      <c r="T42" s="52"/>
    </row>
    <row r="43" spans="2:20" ht="12">
      <c r="B43" s="62" t="s">
        <v>32</v>
      </c>
      <c r="C43" s="170">
        <f ca="1" t="shared" si="0"/>
        <v>310.58299268120766</v>
      </c>
      <c r="E43" s="20" t="s">
        <v>98</v>
      </c>
      <c r="F43" s="156">
        <f ca="1" t="shared" si="1"/>
        <v>364.42800586109996</v>
      </c>
      <c r="H43" s="282" t="s">
        <v>127</v>
      </c>
      <c r="J43" s="53" t="s">
        <v>293</v>
      </c>
      <c r="K43" s="47" t="s">
        <v>124</v>
      </c>
      <c r="L43" s="47" t="s">
        <v>126</v>
      </c>
      <c r="M43" s="54"/>
      <c r="N43" s="54"/>
      <c r="O43" s="54"/>
      <c r="P43" s="54"/>
      <c r="Q43" s="54"/>
      <c r="R43" s="54"/>
      <c r="S43" s="54"/>
      <c r="T43" s="55"/>
    </row>
    <row r="44" spans="2:20" ht="12">
      <c r="B44" s="62" t="s">
        <v>33</v>
      </c>
      <c r="C44" s="170">
        <f ca="1" t="shared" si="0"/>
        <v>352.91403570877435</v>
      </c>
      <c r="E44" s="20" t="s">
        <v>99</v>
      </c>
      <c r="F44" s="156">
        <f ca="1" t="shared" si="1"/>
        <v>328.934534787274</v>
      </c>
      <c r="H44" s="282">
        <f>C13-2*C14</f>
        <v>250</v>
      </c>
      <c r="J44" s="53"/>
      <c r="K44" s="48">
        <v>250</v>
      </c>
      <c r="L44" s="45">
        <v>0</v>
      </c>
      <c r="M44" s="54"/>
      <c r="N44" s="54"/>
      <c r="O44" s="54"/>
      <c r="P44" s="54"/>
      <c r="Q44" s="54"/>
      <c r="R44" s="54"/>
      <c r="S44" s="54"/>
      <c r="T44" s="55"/>
    </row>
    <row r="45" spans="2:20" ht="12">
      <c r="B45" s="62" t="s">
        <v>82</v>
      </c>
      <c r="C45" s="170">
        <f ca="1" t="shared" si="0"/>
        <v>317.77067191842303</v>
      </c>
      <c r="E45" s="20" t="s">
        <v>60</v>
      </c>
      <c r="F45" s="156">
        <f ca="1" t="shared" si="1"/>
        <v>396.73600291539555</v>
      </c>
      <c r="H45" s="282">
        <f>H44+0.5*$C$14</f>
        <v>275</v>
      </c>
      <c r="J45" s="53"/>
      <c r="K45" s="48">
        <v>275</v>
      </c>
      <c r="L45" s="45">
        <v>2</v>
      </c>
      <c r="M45" s="54"/>
      <c r="N45" s="54"/>
      <c r="O45" s="54"/>
      <c r="P45" s="54"/>
      <c r="Q45" s="54"/>
      <c r="R45" s="54"/>
      <c r="S45" s="54"/>
      <c r="T45" s="55"/>
    </row>
    <row r="46" spans="2:20" ht="12">
      <c r="B46" s="62" t="s">
        <v>34</v>
      </c>
      <c r="C46" s="170">
        <f ca="1" t="shared" si="0"/>
        <v>398.863697451886</v>
      </c>
      <c r="E46" s="20" t="s">
        <v>61</v>
      </c>
      <c r="F46" s="156">
        <f ca="1" t="shared" si="1"/>
        <v>463.8363719033161</v>
      </c>
      <c r="H46" s="282">
        <f aca="true" t="shared" si="2" ref="H46:H55">H45+0.5*$C$14</f>
        <v>300</v>
      </c>
      <c r="J46" s="53"/>
      <c r="K46" s="48">
        <v>300</v>
      </c>
      <c r="L46" s="45">
        <v>2</v>
      </c>
      <c r="M46" s="54"/>
      <c r="N46" s="54"/>
      <c r="O46" s="54"/>
      <c r="P46" s="54"/>
      <c r="Q46" s="54"/>
      <c r="R46" s="54"/>
      <c r="S46" s="54"/>
      <c r="T46" s="55"/>
    </row>
    <row r="47" spans="2:20" ht="12">
      <c r="B47" s="62" t="s">
        <v>83</v>
      </c>
      <c r="C47" s="170">
        <f ca="1" t="shared" si="0"/>
        <v>176.00459343720857</v>
      </c>
      <c r="E47" s="20" t="s">
        <v>62</v>
      </c>
      <c r="F47" s="156">
        <f ca="1" t="shared" si="1"/>
        <v>408.8781738676984</v>
      </c>
      <c r="H47" s="282">
        <f t="shared" si="2"/>
        <v>325</v>
      </c>
      <c r="J47" s="53"/>
      <c r="K47" s="48">
        <v>325</v>
      </c>
      <c r="L47" s="45">
        <v>9</v>
      </c>
      <c r="M47" s="54"/>
      <c r="N47" s="54"/>
      <c r="O47" s="54"/>
      <c r="P47" s="54"/>
      <c r="Q47" s="54"/>
      <c r="R47" s="54"/>
      <c r="S47" s="54"/>
      <c r="T47" s="55"/>
    </row>
    <row r="48" spans="2:20" ht="12">
      <c r="B48" s="62" t="s">
        <v>84</v>
      </c>
      <c r="C48" s="170">
        <f ca="1" t="shared" si="0"/>
        <v>290.9918738614572</v>
      </c>
      <c r="E48" s="20" t="s">
        <v>63</v>
      </c>
      <c r="F48" s="156">
        <f ca="1" t="shared" si="1"/>
        <v>259.5937519732805</v>
      </c>
      <c r="H48" s="282">
        <f t="shared" si="2"/>
        <v>350</v>
      </c>
      <c r="J48" s="53"/>
      <c r="K48" s="48">
        <v>350</v>
      </c>
      <c r="L48" s="45">
        <v>8</v>
      </c>
      <c r="M48" s="54"/>
      <c r="N48" s="54"/>
      <c r="O48" s="54"/>
      <c r="P48" s="54"/>
      <c r="Q48" s="54"/>
      <c r="R48" s="54"/>
      <c r="S48" s="54"/>
      <c r="T48" s="55"/>
    </row>
    <row r="49" spans="2:20" ht="12">
      <c r="B49" s="62" t="s">
        <v>85</v>
      </c>
      <c r="C49" s="170">
        <f ca="1" t="shared" si="0"/>
        <v>387.11381612661455</v>
      </c>
      <c r="E49" s="20" t="s">
        <v>64</v>
      </c>
      <c r="F49" s="156">
        <f ca="1" t="shared" si="1"/>
        <v>408.54890650382777</v>
      </c>
      <c r="H49" s="282">
        <f t="shared" si="2"/>
        <v>375</v>
      </c>
      <c r="J49" s="53"/>
      <c r="K49" s="48">
        <v>375</v>
      </c>
      <c r="L49" s="45">
        <v>10</v>
      </c>
      <c r="M49" s="54"/>
      <c r="N49" s="54"/>
      <c r="O49" s="54"/>
      <c r="P49" s="54"/>
      <c r="Q49" s="54"/>
      <c r="R49" s="54"/>
      <c r="S49" s="54"/>
      <c r="T49" s="55"/>
    </row>
    <row r="50" spans="2:20" ht="12">
      <c r="B50" s="62" t="s">
        <v>36</v>
      </c>
      <c r="C50" s="170">
        <f ca="1" t="shared" si="0"/>
        <v>292.9216710784568</v>
      </c>
      <c r="E50" s="20" t="s">
        <v>65</v>
      </c>
      <c r="F50" s="156">
        <f ca="1" t="shared" si="1"/>
        <v>330.98844843293114</v>
      </c>
      <c r="H50" s="282">
        <f t="shared" si="2"/>
        <v>400</v>
      </c>
      <c r="J50" s="53"/>
      <c r="K50" s="48">
        <v>400</v>
      </c>
      <c r="L50" s="45">
        <v>5</v>
      </c>
      <c r="M50" s="54"/>
      <c r="N50" s="54"/>
      <c r="O50" s="54"/>
      <c r="P50" s="54"/>
      <c r="Q50" s="54"/>
      <c r="R50" s="54"/>
      <c r="S50" s="54"/>
      <c r="T50" s="55"/>
    </row>
    <row r="51" spans="2:20" ht="12">
      <c r="B51" s="62" t="s">
        <v>86</v>
      </c>
      <c r="C51" s="170">
        <f ca="1" t="shared" si="0"/>
        <v>377.44573993480475</v>
      </c>
      <c r="H51" s="282">
        <f t="shared" si="2"/>
        <v>425</v>
      </c>
      <c r="J51" s="53"/>
      <c r="K51" s="48">
        <v>425</v>
      </c>
      <c r="L51" s="45">
        <v>2</v>
      </c>
      <c r="M51" s="54"/>
      <c r="N51" s="54"/>
      <c r="O51" s="54"/>
      <c r="P51" s="54"/>
      <c r="Q51" s="54"/>
      <c r="R51" s="54"/>
      <c r="S51" s="54"/>
      <c r="T51" s="55"/>
    </row>
    <row r="52" spans="2:20" ht="12">
      <c r="B52" s="62" t="s">
        <v>37</v>
      </c>
      <c r="C52" s="170">
        <f ca="1" t="shared" si="0"/>
        <v>328.95140986194605</v>
      </c>
      <c r="H52" s="282">
        <f t="shared" si="2"/>
        <v>450</v>
      </c>
      <c r="J52" s="53"/>
      <c r="K52" s="48">
        <v>450</v>
      </c>
      <c r="L52" s="45">
        <v>0</v>
      </c>
      <c r="M52" s="54"/>
      <c r="N52" s="54"/>
      <c r="O52" s="54"/>
      <c r="P52" s="54"/>
      <c r="Q52" s="54"/>
      <c r="R52" s="54"/>
      <c r="S52" s="54"/>
      <c r="T52" s="55"/>
    </row>
    <row r="53" spans="2:20" ht="12">
      <c r="B53" s="62" t="s">
        <v>87</v>
      </c>
      <c r="C53" s="170">
        <f ca="1" t="shared" si="0"/>
        <v>308.8222992207773</v>
      </c>
      <c r="H53" s="282">
        <f t="shared" si="2"/>
        <v>475</v>
      </c>
      <c r="J53" s="53"/>
      <c r="K53" s="48">
        <v>475</v>
      </c>
      <c r="L53" s="45">
        <v>0</v>
      </c>
      <c r="M53" s="54"/>
      <c r="N53" s="54"/>
      <c r="O53" s="54"/>
      <c r="P53" s="54"/>
      <c r="Q53" s="54"/>
      <c r="R53" s="54"/>
      <c r="S53" s="54"/>
      <c r="T53" s="55"/>
    </row>
    <row r="54" spans="2:20" ht="12">
      <c r="B54" s="62" t="s">
        <v>38</v>
      </c>
      <c r="C54" s="170">
        <f ca="1" t="shared" si="0"/>
        <v>303.7268800909058</v>
      </c>
      <c r="H54" s="282">
        <f t="shared" si="2"/>
        <v>500</v>
      </c>
      <c r="J54" s="53"/>
      <c r="K54" s="48">
        <v>500</v>
      </c>
      <c r="L54" s="45">
        <v>0</v>
      </c>
      <c r="M54" s="54"/>
      <c r="N54" s="54"/>
      <c r="O54" s="54"/>
      <c r="P54" s="54"/>
      <c r="Q54" s="54"/>
      <c r="R54" s="54"/>
      <c r="S54" s="54"/>
      <c r="T54" s="55"/>
    </row>
    <row r="55" spans="2:20" ht="12">
      <c r="B55" s="62" t="s">
        <v>42</v>
      </c>
      <c r="C55" s="170">
        <f ca="1" t="shared" si="0"/>
        <v>365.5325580651142</v>
      </c>
      <c r="H55" s="282">
        <f t="shared" si="2"/>
        <v>525</v>
      </c>
      <c r="J55" s="53"/>
      <c r="K55" s="48">
        <v>525</v>
      </c>
      <c r="L55" s="45">
        <v>0</v>
      </c>
      <c r="M55" s="54"/>
      <c r="N55" s="54"/>
      <c r="O55" s="54"/>
      <c r="P55" s="54"/>
      <c r="Q55" s="54"/>
      <c r="R55" s="54"/>
      <c r="S55" s="54"/>
      <c r="T55" s="55"/>
    </row>
    <row r="56" spans="2:20" ht="12">
      <c r="B56" s="62" t="s">
        <v>39</v>
      </c>
      <c r="C56" s="170">
        <f ca="1" t="shared" si="0"/>
        <v>296.39070335843473</v>
      </c>
      <c r="H56" s="282">
        <f>H55+0.5*$C$14</f>
        <v>550</v>
      </c>
      <c r="J56" s="53"/>
      <c r="K56" s="48">
        <v>550</v>
      </c>
      <c r="L56" s="45">
        <v>0</v>
      </c>
      <c r="M56" s="54"/>
      <c r="N56" s="54"/>
      <c r="O56" s="54"/>
      <c r="P56" s="54"/>
      <c r="Q56" s="54"/>
      <c r="R56" s="54"/>
      <c r="S56" s="54"/>
      <c r="T56" s="55"/>
    </row>
    <row r="57" spans="10:20" ht="12.75" thickBot="1">
      <c r="J57" s="53"/>
      <c r="K57" s="46" t="s">
        <v>125</v>
      </c>
      <c r="L57" s="46">
        <v>0</v>
      </c>
      <c r="M57" s="54"/>
      <c r="N57" s="54"/>
      <c r="O57" s="54"/>
      <c r="P57" s="54"/>
      <c r="Q57" s="54"/>
      <c r="R57" s="54"/>
      <c r="S57" s="54"/>
      <c r="T57" s="55"/>
    </row>
    <row r="58" spans="10:20" ht="12.75" thickBot="1">
      <c r="J58" s="53"/>
      <c r="K58" s="54"/>
      <c r="L58" s="54"/>
      <c r="M58" s="54"/>
      <c r="N58" s="54"/>
      <c r="O58" s="54"/>
      <c r="P58" s="54"/>
      <c r="Q58" s="54"/>
      <c r="R58" s="54"/>
      <c r="S58" s="54"/>
      <c r="T58" s="55"/>
    </row>
    <row r="59" spans="10:20" ht="12">
      <c r="J59" s="53" t="s">
        <v>294</v>
      </c>
      <c r="K59" s="47" t="s">
        <v>124</v>
      </c>
      <c r="L59" s="47" t="s">
        <v>126</v>
      </c>
      <c r="M59" s="54"/>
      <c r="N59" s="54"/>
      <c r="O59" s="54"/>
      <c r="P59" s="54"/>
      <c r="Q59" s="54"/>
      <c r="R59" s="54"/>
      <c r="S59" s="54"/>
      <c r="T59" s="55"/>
    </row>
    <row r="60" spans="10:20" ht="12">
      <c r="J60" s="53"/>
      <c r="K60" s="48">
        <v>250</v>
      </c>
      <c r="L60" s="45">
        <v>0</v>
      </c>
      <c r="M60" s="54"/>
      <c r="N60" s="54"/>
      <c r="O60" s="54"/>
      <c r="P60" s="54"/>
      <c r="Q60" s="54"/>
      <c r="R60" s="54"/>
      <c r="S60" s="54"/>
      <c r="T60" s="55"/>
    </row>
    <row r="61" spans="10:20" ht="12">
      <c r="J61" s="53"/>
      <c r="K61" s="48">
        <v>275</v>
      </c>
      <c r="L61" s="45">
        <v>0</v>
      </c>
      <c r="M61" s="54"/>
      <c r="N61" s="54"/>
      <c r="O61" s="54"/>
      <c r="P61" s="54"/>
      <c r="Q61" s="54"/>
      <c r="R61" s="54"/>
      <c r="S61" s="54"/>
      <c r="T61" s="55"/>
    </row>
    <row r="62" spans="10:20" ht="12">
      <c r="J62" s="53"/>
      <c r="K62" s="48">
        <v>300</v>
      </c>
      <c r="L62" s="45">
        <v>2</v>
      </c>
      <c r="M62" s="54"/>
      <c r="N62" s="54"/>
      <c r="O62" s="54"/>
      <c r="P62" s="54"/>
      <c r="Q62" s="54"/>
      <c r="R62" s="54"/>
      <c r="S62" s="54"/>
      <c r="T62" s="55"/>
    </row>
    <row r="63" spans="10:20" ht="12">
      <c r="J63" s="53"/>
      <c r="K63" s="48">
        <v>325</v>
      </c>
      <c r="L63" s="45">
        <v>1</v>
      </c>
      <c r="M63" s="54"/>
      <c r="N63" s="54"/>
      <c r="O63" s="54"/>
      <c r="P63" s="54"/>
      <c r="Q63" s="54"/>
      <c r="R63" s="54"/>
      <c r="S63" s="54"/>
      <c r="T63" s="55"/>
    </row>
    <row r="64" spans="10:20" ht="12">
      <c r="J64" s="53"/>
      <c r="K64" s="48">
        <v>350</v>
      </c>
      <c r="L64" s="45">
        <v>3</v>
      </c>
      <c r="M64" s="54"/>
      <c r="N64" s="54"/>
      <c r="O64" s="54"/>
      <c r="P64" s="54"/>
      <c r="Q64" s="54"/>
      <c r="R64" s="54"/>
      <c r="S64" s="54"/>
      <c r="T64" s="55"/>
    </row>
    <row r="65" spans="10:20" ht="12">
      <c r="J65" s="53"/>
      <c r="K65" s="48">
        <v>375</v>
      </c>
      <c r="L65" s="45">
        <v>3</v>
      </c>
      <c r="M65" s="54"/>
      <c r="N65" s="54"/>
      <c r="O65" s="54"/>
      <c r="P65" s="54"/>
      <c r="Q65" s="54"/>
      <c r="R65" s="54"/>
      <c r="S65" s="54"/>
      <c r="T65" s="55"/>
    </row>
    <row r="66" spans="10:20" ht="12">
      <c r="J66" s="53"/>
      <c r="K66" s="48">
        <v>400</v>
      </c>
      <c r="L66" s="45">
        <v>5</v>
      </c>
      <c r="M66" s="54"/>
      <c r="N66" s="54"/>
      <c r="O66" s="54"/>
      <c r="P66" s="54"/>
      <c r="Q66" s="54"/>
      <c r="R66" s="54"/>
      <c r="S66" s="54"/>
      <c r="T66" s="55"/>
    </row>
    <row r="67" spans="10:20" ht="12">
      <c r="J67" s="53"/>
      <c r="K67" s="48">
        <v>425</v>
      </c>
      <c r="L67" s="45">
        <v>2</v>
      </c>
      <c r="M67" s="54"/>
      <c r="N67" s="54"/>
      <c r="O67" s="54"/>
      <c r="P67" s="54"/>
      <c r="Q67" s="54"/>
      <c r="R67" s="54"/>
      <c r="S67" s="54"/>
      <c r="T67" s="55"/>
    </row>
    <row r="68" spans="10:20" ht="12">
      <c r="J68" s="53"/>
      <c r="K68" s="48">
        <v>450</v>
      </c>
      <c r="L68" s="45">
        <v>6</v>
      </c>
      <c r="M68" s="54"/>
      <c r="N68" s="54"/>
      <c r="O68" s="54"/>
      <c r="P68" s="54"/>
      <c r="Q68" s="54"/>
      <c r="R68" s="54"/>
      <c r="S68" s="54"/>
      <c r="T68" s="55"/>
    </row>
    <row r="69" spans="10:20" ht="12">
      <c r="J69" s="53"/>
      <c r="K69" s="48">
        <v>475</v>
      </c>
      <c r="L69" s="45">
        <v>4</v>
      </c>
      <c r="M69" s="54"/>
      <c r="N69" s="54"/>
      <c r="O69" s="54"/>
      <c r="P69" s="54"/>
      <c r="Q69" s="54"/>
      <c r="R69" s="54"/>
      <c r="S69" s="54"/>
      <c r="T69" s="55"/>
    </row>
    <row r="70" spans="10:20" ht="12">
      <c r="J70" s="53"/>
      <c r="K70" s="48">
        <v>500</v>
      </c>
      <c r="L70" s="45">
        <v>2</v>
      </c>
      <c r="M70" s="54"/>
      <c r="N70" s="54"/>
      <c r="O70" s="54"/>
      <c r="P70" s="54"/>
      <c r="Q70" s="54"/>
      <c r="R70" s="54"/>
      <c r="S70" s="54"/>
      <c r="T70" s="55"/>
    </row>
    <row r="71" spans="10:20" ht="12">
      <c r="J71" s="53"/>
      <c r="K71" s="48">
        <v>525</v>
      </c>
      <c r="L71" s="45">
        <v>2</v>
      </c>
      <c r="M71" s="54"/>
      <c r="N71" s="54"/>
      <c r="O71" s="54"/>
      <c r="P71" s="54"/>
      <c r="Q71" s="54"/>
      <c r="R71" s="54"/>
      <c r="S71" s="54"/>
      <c r="T71" s="55"/>
    </row>
    <row r="72" spans="10:20" ht="12">
      <c r="J72" s="53"/>
      <c r="K72" s="48">
        <v>550</v>
      </c>
      <c r="L72" s="45">
        <v>1</v>
      </c>
      <c r="M72" s="54"/>
      <c r="N72" s="54"/>
      <c r="O72" s="54"/>
      <c r="P72" s="54"/>
      <c r="Q72" s="54"/>
      <c r="R72" s="54"/>
      <c r="S72" s="54"/>
      <c r="T72" s="55"/>
    </row>
    <row r="73" spans="10:20" ht="12.75" thickBot="1">
      <c r="J73" s="53"/>
      <c r="K73" s="46" t="s">
        <v>125</v>
      </c>
      <c r="L73" s="46">
        <v>1</v>
      </c>
      <c r="M73" s="54"/>
      <c r="N73" s="54"/>
      <c r="O73" s="54"/>
      <c r="P73" s="54"/>
      <c r="Q73" s="54"/>
      <c r="R73" s="54"/>
      <c r="S73" s="54"/>
      <c r="T73" s="55"/>
    </row>
    <row r="74" spans="10:20" ht="12">
      <c r="J74" s="56"/>
      <c r="K74" s="57"/>
      <c r="L74" s="57"/>
      <c r="M74" s="57"/>
      <c r="N74" s="57"/>
      <c r="O74" s="57"/>
      <c r="P74" s="57"/>
      <c r="Q74" s="57"/>
      <c r="R74" s="57"/>
      <c r="S74" s="57"/>
      <c r="T74" s="58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12" max="12" width="9.00390625" style="0" customWidth="1"/>
  </cols>
  <sheetData>
    <row r="1" spans="2:4" ht="12">
      <c r="B1" t="s">
        <v>217</v>
      </c>
      <c r="C1" s="3"/>
      <c r="D1" s="3"/>
    </row>
    <row r="2" spans="2:4" ht="12">
      <c r="B2" t="s">
        <v>221</v>
      </c>
      <c r="C2" s="3"/>
      <c r="D2" s="3"/>
    </row>
    <row r="3" spans="2:4" ht="12">
      <c r="B3" t="s">
        <v>220</v>
      </c>
      <c r="C3" s="3"/>
      <c r="D3" s="3"/>
    </row>
    <row r="4" spans="2:4" ht="12">
      <c r="B4" t="s">
        <v>300</v>
      </c>
      <c r="C4" s="3"/>
      <c r="D4" s="3"/>
    </row>
    <row r="5" spans="2:10" ht="12">
      <c r="B5" s="2" t="s">
        <v>110</v>
      </c>
      <c r="C5" s="18"/>
      <c r="D5" s="19"/>
      <c r="E5" s="11"/>
      <c r="F5" s="20"/>
      <c r="G5" s="21"/>
      <c r="H5" s="22"/>
      <c r="I5" s="23"/>
      <c r="J5" s="25"/>
    </row>
    <row r="7" ht="12">
      <c r="D7" t="s">
        <v>209</v>
      </c>
    </row>
    <row r="8" spans="2:10" ht="12">
      <c r="B8" s="3"/>
      <c r="C8" s="3"/>
      <c r="D8" s="18" t="s">
        <v>210</v>
      </c>
      <c r="E8" s="18"/>
      <c r="F8" s="27"/>
      <c r="H8" s="20" t="s">
        <v>211</v>
      </c>
      <c r="I8" s="20"/>
      <c r="J8" s="20"/>
    </row>
    <row r="9" spans="2:10" ht="12">
      <c r="B9" s="3"/>
      <c r="C9" s="3"/>
      <c r="D9" s="18"/>
      <c r="E9" s="18" t="s">
        <v>222</v>
      </c>
      <c r="F9" s="27" t="s">
        <v>223</v>
      </c>
      <c r="H9" s="20"/>
      <c r="I9" s="20" t="s">
        <v>222</v>
      </c>
      <c r="J9" s="20" t="s">
        <v>223</v>
      </c>
    </row>
    <row r="10" spans="4:10" ht="36.75" customHeight="1">
      <c r="D10" s="140"/>
      <c r="E10" s="140" t="s">
        <v>216</v>
      </c>
      <c r="F10" s="140" t="s">
        <v>3</v>
      </c>
      <c r="H10" s="73"/>
      <c r="I10" s="73" t="s">
        <v>216</v>
      </c>
      <c r="J10" s="73" t="s">
        <v>3</v>
      </c>
    </row>
    <row r="11" spans="4:13" ht="12">
      <c r="D11" s="61" t="s">
        <v>224</v>
      </c>
      <c r="E11" s="85">
        <v>3</v>
      </c>
      <c r="F11" s="85">
        <v>300</v>
      </c>
      <c r="H11" s="93" t="s">
        <v>224</v>
      </c>
      <c r="I11" s="86">
        <v>4</v>
      </c>
      <c r="J11" s="86">
        <v>400</v>
      </c>
      <c r="M11" t="s">
        <v>231</v>
      </c>
    </row>
    <row r="12" spans="4:16" ht="12">
      <c r="D12" s="61" t="s">
        <v>225</v>
      </c>
      <c r="E12" s="85">
        <v>0.3</v>
      </c>
      <c r="F12" s="85">
        <v>60</v>
      </c>
      <c r="H12" s="93" t="s">
        <v>225</v>
      </c>
      <c r="I12" s="86">
        <v>0.35</v>
      </c>
      <c r="J12" s="86">
        <v>75</v>
      </c>
      <c r="M12" s="60" t="s">
        <v>232</v>
      </c>
      <c r="N12" s="177">
        <v>3.5</v>
      </c>
      <c r="O12" s="178">
        <f>MIN(F19:F56,J19:J50)</f>
        <v>183.38553833713826</v>
      </c>
      <c r="P12" s="179" t="s">
        <v>227</v>
      </c>
    </row>
    <row r="13" spans="4:16" ht="12">
      <c r="D13" s="61" t="s">
        <v>226</v>
      </c>
      <c r="E13" s="61"/>
      <c r="F13" s="171">
        <v>0.8</v>
      </c>
      <c r="H13" s="93" t="s">
        <v>226</v>
      </c>
      <c r="I13" s="93"/>
      <c r="J13" s="175">
        <v>0.8</v>
      </c>
      <c r="M13" s="25"/>
      <c r="N13" s="148">
        <f>N12</f>
        <v>3.5</v>
      </c>
      <c r="O13" s="178">
        <f>MAX(F19:F56,J19:J50)</f>
        <v>587.8808202535929</v>
      </c>
      <c r="P13" s="179" t="s">
        <v>228</v>
      </c>
    </row>
    <row r="14" spans="4:10" ht="12">
      <c r="D14" s="12" t="s">
        <v>115</v>
      </c>
      <c r="E14" s="12"/>
      <c r="F14" s="172">
        <f>AVERAGE(F19:F56)</f>
        <v>308.10098258422573</v>
      </c>
      <c r="H14" s="112" t="s">
        <v>115</v>
      </c>
      <c r="I14" s="112"/>
      <c r="J14" s="88">
        <f>AVERAGE(J19:J50)</f>
        <v>393.7408332117234</v>
      </c>
    </row>
    <row r="15" spans="4:18" ht="12">
      <c r="D15" s="12" t="s">
        <v>116</v>
      </c>
      <c r="E15" s="12"/>
      <c r="F15" s="172">
        <f>STDEV(F19:F56)</f>
        <v>67.33233476754572</v>
      </c>
      <c r="H15" s="112" t="s">
        <v>116</v>
      </c>
      <c r="I15" s="112"/>
      <c r="J15" s="88">
        <f>STDEV(J19:J50)</f>
        <v>67.2191142531752</v>
      </c>
      <c r="N15" s="60" t="s">
        <v>234</v>
      </c>
      <c r="O15" s="81">
        <f>FORECAST(N12,F19:F56,E19:E56)</f>
        <v>377.0159008976103</v>
      </c>
      <c r="Q15" t="s">
        <v>229</v>
      </c>
      <c r="R15" t="s">
        <v>230</v>
      </c>
    </row>
    <row r="16" spans="4:15" ht="12">
      <c r="D16" s="12" t="s">
        <v>215</v>
      </c>
      <c r="E16" s="12"/>
      <c r="F16" s="173">
        <f>CORREL(E19:E56,F19:F56)</f>
        <v>0.8157829001125748</v>
      </c>
      <c r="H16" s="112" t="s">
        <v>215</v>
      </c>
      <c r="I16" s="112"/>
      <c r="J16" s="144">
        <f>CORREL(I19:I56,J19:J56)</f>
        <v>0.8585578386514239</v>
      </c>
      <c r="N16" s="60" t="s">
        <v>235</v>
      </c>
      <c r="O16" s="81">
        <f>FORECAST(N12,J19:J50,I19:I50)</f>
        <v>306.87869410891517</v>
      </c>
    </row>
    <row r="17" spans="4:15" ht="12">
      <c r="D17" s="12" t="s">
        <v>118</v>
      </c>
      <c r="E17" s="12"/>
      <c r="F17" s="174">
        <f>COUNT(F19:F56)</f>
        <v>38</v>
      </c>
      <c r="H17" s="112" t="s">
        <v>118</v>
      </c>
      <c r="I17" s="112"/>
      <c r="J17" s="114">
        <f>COUNT(J19:J50)</f>
        <v>32</v>
      </c>
      <c r="N17" s="60" t="s">
        <v>236</v>
      </c>
      <c r="O17" s="81">
        <f>O15-O16</f>
        <v>70.13720678869515</v>
      </c>
    </row>
    <row r="18" spans="4:15" ht="12">
      <c r="D18" s="38"/>
      <c r="E18" s="38"/>
      <c r="F18" s="39"/>
      <c r="H18" s="38"/>
      <c r="I18" s="38"/>
      <c r="J18" s="39"/>
      <c r="N18" s="60" t="s">
        <v>233</v>
      </c>
      <c r="O18" s="81">
        <f>F14-J14</f>
        <v>-85.63985062749765</v>
      </c>
    </row>
    <row r="19" spans="4:10" ht="12">
      <c r="D19" s="168" t="s">
        <v>22</v>
      </c>
      <c r="E19" s="169">
        <f ca="1">$E$11+$E$12*NORMSINV(RAND())</f>
        <v>2.7287941803580895</v>
      </c>
      <c r="F19" s="169">
        <f ca="1">$F$11+$F$12*($F$13*(E19-$E$11)/$E$12+SQRT(1-$F$13^2)*NORMSINV(RAND()))</f>
        <v>267.4467498310009</v>
      </c>
      <c r="H19" s="35" t="s">
        <v>45</v>
      </c>
      <c r="I19" s="156">
        <f ca="1">$I$11+$I$12*NORMSINV(RAND())</f>
        <v>3.500007438467534</v>
      </c>
      <c r="J19" s="156">
        <f ca="1">$J$11+$J$12*($J$13*(I19-$I$11)/$I$12+SQRT(1-$J$13^2)*NORMSINV(RAND()))</f>
        <v>301.9265605793701</v>
      </c>
    </row>
    <row r="20" spans="4:10" ht="12">
      <c r="D20" s="62" t="s">
        <v>68</v>
      </c>
      <c r="E20" s="170">
        <f aca="true" ca="1" t="shared" si="0" ref="E20:E56">$E$11+$E$12*NORMSINV(RAND())</f>
        <v>3.8843508504932407</v>
      </c>
      <c r="F20" s="170">
        <f aca="true" ca="1" t="shared" si="1" ref="F20:F56">$F$11+$F$12*($F$13*(E20-$E$11)/$E$12+SQRT(1-$F$13^2)*NORMSINV(RAND()))</f>
        <v>393.70879157407364</v>
      </c>
      <c r="H20" s="21" t="s">
        <v>88</v>
      </c>
      <c r="I20" s="36">
        <f aca="true" ca="1" t="shared" si="2" ref="I20:I50">$I$11+$I$12*NORMSINV(RAND())</f>
        <v>3.907048246787605</v>
      </c>
      <c r="J20" s="36">
        <f aca="true" ca="1" t="shared" si="3" ref="J20:J50">$J$11+$J$12*($J$13*(I20-$I$11)/$I$12+SQRT(1-$J$13^2)*NORMSINV(RAND()))</f>
        <v>401.2154774603506</v>
      </c>
    </row>
    <row r="21" spans="4:10" ht="12">
      <c r="D21" s="62" t="s">
        <v>69</v>
      </c>
      <c r="E21" s="170">
        <f ca="1" t="shared" si="0"/>
        <v>2.3627066711322287</v>
      </c>
      <c r="F21" s="170">
        <f ca="1" t="shared" si="1"/>
        <v>183.38553833713826</v>
      </c>
      <c r="H21" s="21" t="s">
        <v>40</v>
      </c>
      <c r="I21" s="36">
        <f ca="1" t="shared" si="2"/>
        <v>3.788683777659179</v>
      </c>
      <c r="J21" s="36">
        <f ca="1" t="shared" si="3"/>
        <v>354.61907708201545</v>
      </c>
    </row>
    <row r="22" spans="4:10" ht="12">
      <c r="D22" s="62" t="s">
        <v>23</v>
      </c>
      <c r="E22" s="170">
        <f ca="1" t="shared" si="0"/>
        <v>2.6039784952981706</v>
      </c>
      <c r="F22" s="170">
        <f ca="1" t="shared" si="1"/>
        <v>211.62675414377784</v>
      </c>
      <c r="H22" s="21" t="s">
        <v>46</v>
      </c>
      <c r="I22" s="36">
        <f ca="1" t="shared" si="2"/>
        <v>3.5611653810966617</v>
      </c>
      <c r="J22" s="36">
        <f ca="1" t="shared" si="3"/>
        <v>315.93055127089656</v>
      </c>
    </row>
    <row r="23" spans="4:10" ht="12">
      <c r="D23" s="62" t="s">
        <v>24</v>
      </c>
      <c r="E23" s="170">
        <f ca="1" t="shared" si="0"/>
        <v>3.0541651132059062</v>
      </c>
      <c r="F23" s="170">
        <f ca="1" t="shared" si="1"/>
        <v>309.7237956562135</v>
      </c>
      <c r="H23" s="21" t="s">
        <v>47</v>
      </c>
      <c r="I23" s="36">
        <f ca="1" t="shared" si="2"/>
        <v>3.7415249663557884</v>
      </c>
      <c r="J23" s="36">
        <f ca="1" t="shared" si="3"/>
        <v>311.80346192516316</v>
      </c>
    </row>
    <row r="24" spans="4:10" ht="12">
      <c r="D24" s="62" t="s">
        <v>70</v>
      </c>
      <c r="E24" s="170">
        <f ca="1" t="shared" si="0"/>
        <v>3.2647559355240747</v>
      </c>
      <c r="F24" s="170">
        <f ca="1" t="shared" si="1"/>
        <v>337.5265650268895</v>
      </c>
      <c r="H24" s="21" t="s">
        <v>48</v>
      </c>
      <c r="I24" s="36">
        <f ca="1" t="shared" si="2"/>
        <v>3.513447118828234</v>
      </c>
      <c r="J24" s="36">
        <f ca="1" t="shared" si="3"/>
        <v>340.55940032831944</v>
      </c>
    </row>
    <row r="25" spans="4:10" ht="12">
      <c r="D25" s="62" t="s">
        <v>71</v>
      </c>
      <c r="E25" s="170">
        <f ca="1" t="shared" si="0"/>
        <v>3.019132668565091</v>
      </c>
      <c r="F25" s="170">
        <f ca="1" t="shared" si="1"/>
        <v>270.1962665045938</v>
      </c>
      <c r="H25" s="21" t="s">
        <v>49</v>
      </c>
      <c r="I25" s="36">
        <f ca="1" t="shared" si="2"/>
        <v>4.211868593013781</v>
      </c>
      <c r="J25" s="36">
        <f ca="1" t="shared" si="3"/>
        <v>458.91668013776064</v>
      </c>
    </row>
    <row r="26" spans="4:10" ht="12">
      <c r="D26" s="62" t="s">
        <v>72</v>
      </c>
      <c r="E26" s="170">
        <f ca="1" t="shared" si="0"/>
        <v>3.484829953322231</v>
      </c>
      <c r="F26" s="170">
        <f ca="1" t="shared" si="1"/>
        <v>368.8256949701125</v>
      </c>
      <c r="H26" s="21" t="s">
        <v>50</v>
      </c>
      <c r="I26" s="36">
        <f ca="1" t="shared" si="2"/>
        <v>3.569452307592927</v>
      </c>
      <c r="J26" s="36">
        <f ca="1" t="shared" si="3"/>
        <v>316.394730449443</v>
      </c>
    </row>
    <row r="27" spans="4:10" ht="12">
      <c r="D27" s="62" t="s">
        <v>73</v>
      </c>
      <c r="E27" s="170">
        <f ca="1" t="shared" si="0"/>
        <v>3.095390104817113</v>
      </c>
      <c r="F27" s="170">
        <f ca="1" t="shared" si="1"/>
        <v>237.95744443533079</v>
      </c>
      <c r="H27" s="21" t="s">
        <v>89</v>
      </c>
      <c r="I27" s="36">
        <f ca="1" t="shared" si="2"/>
        <v>4.0527809101107115</v>
      </c>
      <c r="J27" s="36">
        <f ca="1" t="shared" si="3"/>
        <v>413.78246236971626</v>
      </c>
    </row>
    <row r="28" spans="4:10" ht="12">
      <c r="D28" s="62" t="s">
        <v>74</v>
      </c>
      <c r="E28" s="170">
        <f ca="1" t="shared" si="0"/>
        <v>3.0076768022580325</v>
      </c>
      <c r="F28" s="170">
        <f ca="1" t="shared" si="1"/>
        <v>305.75919841525524</v>
      </c>
      <c r="H28" s="21" t="s">
        <v>51</v>
      </c>
      <c r="I28" s="36">
        <f ca="1" t="shared" si="2"/>
        <v>4.071364948136711</v>
      </c>
      <c r="J28" s="36">
        <f ca="1" t="shared" si="3"/>
        <v>411.64619208899023</v>
      </c>
    </row>
    <row r="29" spans="4:10" ht="12">
      <c r="D29" s="62" t="s">
        <v>25</v>
      </c>
      <c r="E29" s="170">
        <f ca="1" t="shared" si="0"/>
        <v>3.5307269933659313</v>
      </c>
      <c r="F29" s="170">
        <f ca="1" t="shared" si="1"/>
        <v>403.14830260704707</v>
      </c>
      <c r="H29" s="21" t="s">
        <v>52</v>
      </c>
      <c r="I29" s="36">
        <f ca="1" t="shared" si="2"/>
        <v>3.3518920909007357</v>
      </c>
      <c r="J29" s="36">
        <f ca="1" t="shared" si="3"/>
        <v>262.3255961353502</v>
      </c>
    </row>
    <row r="30" spans="4:10" ht="12">
      <c r="D30" s="62" t="s">
        <v>75</v>
      </c>
      <c r="E30" s="170">
        <f ca="1" t="shared" si="0"/>
        <v>3.8224429827870674</v>
      </c>
      <c r="F30" s="170">
        <f ca="1" t="shared" si="1"/>
        <v>460.38303208135943</v>
      </c>
      <c r="H30" s="21" t="s">
        <v>90</v>
      </c>
      <c r="I30" s="36">
        <f ca="1" t="shared" si="2"/>
        <v>4.749971396603874</v>
      </c>
      <c r="J30" s="36">
        <f ca="1" t="shared" si="3"/>
        <v>587.8808202535929</v>
      </c>
    </row>
    <row r="31" spans="4:10" ht="12">
      <c r="D31" s="62" t="s">
        <v>76</v>
      </c>
      <c r="E31" s="170">
        <f ca="1" t="shared" si="0"/>
        <v>2.864286113850574</v>
      </c>
      <c r="F31" s="170">
        <f ca="1" t="shared" si="1"/>
        <v>213.0533741437044</v>
      </c>
      <c r="H31" s="21" t="s">
        <v>93</v>
      </c>
      <c r="I31" s="36">
        <f ca="1" t="shared" si="2"/>
        <v>4.35530132147351</v>
      </c>
      <c r="J31" s="36">
        <f ca="1" t="shared" si="3"/>
        <v>439.58578922028903</v>
      </c>
    </row>
    <row r="32" spans="4:10" ht="12">
      <c r="D32" s="62" t="s">
        <v>26</v>
      </c>
      <c r="E32" s="170">
        <f ca="1" t="shared" si="0"/>
        <v>2.8785390245715137</v>
      </c>
      <c r="F32" s="170">
        <f ca="1" t="shared" si="1"/>
        <v>347.56465901309525</v>
      </c>
      <c r="H32" s="21" t="s">
        <v>53</v>
      </c>
      <c r="I32" s="36">
        <f ca="1" t="shared" si="2"/>
        <v>4.19584584881308</v>
      </c>
      <c r="J32" s="36">
        <f ca="1" t="shared" si="3"/>
        <v>444.23498565590893</v>
      </c>
    </row>
    <row r="33" spans="4:10" ht="12">
      <c r="D33" s="62" t="s">
        <v>77</v>
      </c>
      <c r="E33" s="170">
        <f ca="1" t="shared" si="0"/>
        <v>3.209261490918822</v>
      </c>
      <c r="F33" s="170">
        <f ca="1" t="shared" si="1"/>
        <v>330.0214163699397</v>
      </c>
      <c r="H33" s="21" t="s">
        <v>54</v>
      </c>
      <c r="I33" s="36">
        <f ca="1" t="shared" si="2"/>
        <v>4.072781004797106</v>
      </c>
      <c r="J33" s="36">
        <f ca="1" t="shared" si="3"/>
        <v>454.87945319731847</v>
      </c>
    </row>
    <row r="34" spans="4:10" ht="12">
      <c r="D34" s="62" t="s">
        <v>27</v>
      </c>
      <c r="E34" s="170">
        <f ca="1" t="shared" si="0"/>
        <v>2.911947556909348</v>
      </c>
      <c r="F34" s="170">
        <f ca="1" t="shared" si="1"/>
        <v>255.3334898490562</v>
      </c>
      <c r="H34" s="21" t="s">
        <v>55</v>
      </c>
      <c r="I34" s="36">
        <f ca="1" t="shared" si="2"/>
        <v>4.182924884261396</v>
      </c>
      <c r="J34" s="36">
        <f ca="1" t="shared" si="3"/>
        <v>409.7918687331238</v>
      </c>
    </row>
    <row r="35" spans="4:10" ht="12">
      <c r="D35" s="62" t="s">
        <v>78</v>
      </c>
      <c r="E35" s="170">
        <f ca="1" t="shared" si="0"/>
        <v>3.4076421719452137</v>
      </c>
      <c r="F35" s="170">
        <f ca="1" t="shared" si="1"/>
        <v>421.6361452001487</v>
      </c>
      <c r="H35" s="21" t="s">
        <v>94</v>
      </c>
      <c r="I35" s="36">
        <f ca="1" t="shared" si="2"/>
        <v>4.22748642834609</v>
      </c>
      <c r="J35" s="36">
        <f ca="1" t="shared" si="3"/>
        <v>438.5215037075552</v>
      </c>
    </row>
    <row r="36" spans="4:10" ht="12">
      <c r="D36" s="62" t="s">
        <v>28</v>
      </c>
      <c r="E36" s="170">
        <f ca="1" t="shared" si="0"/>
        <v>3.4875975440328495</v>
      </c>
      <c r="F36" s="170">
        <f ca="1" t="shared" si="1"/>
        <v>358.1231073454538</v>
      </c>
      <c r="H36" s="21" t="s">
        <v>56</v>
      </c>
      <c r="I36" s="36">
        <f ca="1" t="shared" si="2"/>
        <v>3.7866474207947283</v>
      </c>
      <c r="J36" s="36">
        <f ca="1" t="shared" si="3"/>
        <v>433.71778020256784</v>
      </c>
    </row>
    <row r="37" spans="4:10" ht="12">
      <c r="D37" s="62" t="s">
        <v>29</v>
      </c>
      <c r="E37" s="170">
        <f ca="1" t="shared" si="0"/>
        <v>2.494730665303751</v>
      </c>
      <c r="F37" s="170">
        <f ca="1" t="shared" si="1"/>
        <v>223.13402701382677</v>
      </c>
      <c r="H37" s="21" t="s">
        <v>95</v>
      </c>
      <c r="I37" s="36">
        <f ca="1" t="shared" si="2"/>
        <v>4.274682113746183</v>
      </c>
      <c r="J37" s="36">
        <f ca="1" t="shared" si="3"/>
        <v>444.25334293518597</v>
      </c>
    </row>
    <row r="38" spans="4:10" ht="12">
      <c r="D38" s="62" t="s">
        <v>79</v>
      </c>
      <c r="E38" s="170">
        <f ca="1" t="shared" si="0"/>
        <v>3.4010323388445562</v>
      </c>
      <c r="F38" s="170">
        <f ca="1" t="shared" si="1"/>
        <v>388.41830325567526</v>
      </c>
      <c r="H38" s="21" t="s">
        <v>96</v>
      </c>
      <c r="I38" s="36">
        <f ca="1" t="shared" si="2"/>
        <v>4.280939178443697</v>
      </c>
      <c r="J38" s="36">
        <f ca="1" t="shared" si="3"/>
        <v>473.5742736232463</v>
      </c>
    </row>
    <row r="39" spans="4:10" ht="12">
      <c r="D39" s="62" t="s">
        <v>80</v>
      </c>
      <c r="E39" s="170">
        <f ca="1" t="shared" si="0"/>
        <v>2.5663723179964713</v>
      </c>
      <c r="F39" s="170">
        <f ca="1" t="shared" si="1"/>
        <v>263.2863769168856</v>
      </c>
      <c r="H39" s="21" t="s">
        <v>57</v>
      </c>
      <c r="I39" s="36">
        <f ca="1" t="shared" si="2"/>
        <v>4.045335529731029</v>
      </c>
      <c r="J39" s="36">
        <f ca="1" t="shared" si="3"/>
        <v>423.755213542219</v>
      </c>
    </row>
    <row r="40" spans="4:10" ht="12">
      <c r="D40" s="62" t="s">
        <v>30</v>
      </c>
      <c r="E40" s="170">
        <f ca="1" t="shared" si="0"/>
        <v>3.379906448623443</v>
      </c>
      <c r="F40" s="170">
        <f ca="1" t="shared" si="1"/>
        <v>336.1449450673545</v>
      </c>
      <c r="H40" s="21" t="s">
        <v>58</v>
      </c>
      <c r="I40" s="36">
        <f ca="1" t="shared" si="2"/>
        <v>4.092263545861492</v>
      </c>
      <c r="J40" s="36">
        <f ca="1" t="shared" si="3"/>
        <v>392.1520215482436</v>
      </c>
    </row>
    <row r="41" spans="4:10" ht="12">
      <c r="D41" s="62" t="s">
        <v>81</v>
      </c>
      <c r="E41" s="170">
        <f ca="1" t="shared" si="0"/>
        <v>2.8328937878840974</v>
      </c>
      <c r="F41" s="170">
        <f ca="1" t="shared" si="1"/>
        <v>224.72876728299275</v>
      </c>
      <c r="H41" s="21" t="s">
        <v>97</v>
      </c>
      <c r="I41" s="36">
        <f ca="1" t="shared" si="2"/>
        <v>4.310833036061047</v>
      </c>
      <c r="J41" s="36">
        <f ca="1" t="shared" si="3"/>
        <v>460.2693183010539</v>
      </c>
    </row>
    <row r="42" spans="4:10" ht="12">
      <c r="D42" s="62" t="s">
        <v>31</v>
      </c>
      <c r="E42" s="170">
        <f ca="1" t="shared" si="0"/>
        <v>3.129157006747662</v>
      </c>
      <c r="F42" s="170">
        <f ca="1" t="shared" si="1"/>
        <v>265.6861309473902</v>
      </c>
      <c r="H42" s="21" t="s">
        <v>59</v>
      </c>
      <c r="I42" s="36">
        <f ca="1" t="shared" si="2"/>
        <v>3.7881774560978045</v>
      </c>
      <c r="J42" s="36">
        <f ca="1" t="shared" si="3"/>
        <v>269.8376165002395</v>
      </c>
    </row>
    <row r="43" spans="4:10" ht="12">
      <c r="D43" s="62" t="s">
        <v>32</v>
      </c>
      <c r="E43" s="170">
        <f ca="1" t="shared" si="0"/>
        <v>2.8409583588895795</v>
      </c>
      <c r="F43" s="170">
        <f ca="1" t="shared" si="1"/>
        <v>220.56262897105677</v>
      </c>
      <c r="H43" s="21" t="s">
        <v>98</v>
      </c>
      <c r="I43" s="36">
        <f ca="1" t="shared" si="2"/>
        <v>3.876323930230573</v>
      </c>
      <c r="J43" s="36">
        <f ca="1" t="shared" si="3"/>
        <v>391.3003699897436</v>
      </c>
    </row>
    <row r="44" spans="4:10" ht="12">
      <c r="D44" s="62" t="s">
        <v>33</v>
      </c>
      <c r="E44" s="170">
        <f ca="1" t="shared" si="0"/>
        <v>2.9922273264668227</v>
      </c>
      <c r="F44" s="170">
        <f ca="1" t="shared" si="1"/>
        <v>300.00322790388225</v>
      </c>
      <c r="H44" s="21" t="s">
        <v>99</v>
      </c>
      <c r="I44" s="36">
        <f ca="1" t="shared" si="2"/>
        <v>3.9015526960001012</v>
      </c>
      <c r="J44" s="36">
        <f ca="1" t="shared" si="3"/>
        <v>349.52469449271894</v>
      </c>
    </row>
    <row r="45" spans="4:10" ht="12">
      <c r="D45" s="62" t="s">
        <v>82</v>
      </c>
      <c r="E45" s="170">
        <f ca="1" t="shared" si="0"/>
        <v>3.105216123168702</v>
      </c>
      <c r="F45" s="170">
        <f ca="1" t="shared" si="1"/>
        <v>288.6685292819679</v>
      </c>
      <c r="H45" s="21" t="s">
        <v>60</v>
      </c>
      <c r="I45" s="36">
        <f ca="1" t="shared" si="2"/>
        <v>3.4351127249575266</v>
      </c>
      <c r="J45" s="36">
        <f ca="1" t="shared" si="3"/>
        <v>353.8307104929878</v>
      </c>
    </row>
    <row r="46" spans="4:10" ht="12">
      <c r="D46" s="62" t="s">
        <v>34</v>
      </c>
      <c r="E46" s="170">
        <f ca="1" t="shared" si="0"/>
        <v>3.0471615410977906</v>
      </c>
      <c r="F46" s="170">
        <f ca="1" t="shared" si="1"/>
        <v>336.8381464371199</v>
      </c>
      <c r="H46" s="21" t="s">
        <v>61</v>
      </c>
      <c r="I46" s="36">
        <f ca="1" t="shared" si="2"/>
        <v>3.9691250587190594</v>
      </c>
      <c r="J46" s="36">
        <f ca="1" t="shared" si="3"/>
        <v>367.2511618365325</v>
      </c>
    </row>
    <row r="47" spans="4:10" ht="12">
      <c r="D47" s="62" t="s">
        <v>83</v>
      </c>
      <c r="E47" s="170">
        <f ca="1" t="shared" si="0"/>
        <v>3.0042834167244816</v>
      </c>
      <c r="F47" s="170">
        <f ca="1" t="shared" si="1"/>
        <v>315.8573621921726</v>
      </c>
      <c r="H47" s="21" t="s">
        <v>62</v>
      </c>
      <c r="I47" s="36">
        <f ca="1" t="shared" si="2"/>
        <v>4.1035309996952165</v>
      </c>
      <c r="J47" s="36">
        <f ca="1" t="shared" si="3"/>
        <v>403.1741902890646</v>
      </c>
    </row>
    <row r="48" spans="4:10" ht="12">
      <c r="D48" s="62" t="s">
        <v>84</v>
      </c>
      <c r="E48" s="170">
        <f ca="1" t="shared" si="0"/>
        <v>3.085440040102622</v>
      </c>
      <c r="F48" s="170">
        <f ca="1" t="shared" si="1"/>
        <v>339.45130931782893</v>
      </c>
      <c r="H48" s="21" t="s">
        <v>63</v>
      </c>
      <c r="I48" s="36">
        <f ca="1" t="shared" si="2"/>
        <v>3.872624845483189</v>
      </c>
      <c r="J48" s="36">
        <f ca="1" t="shared" si="3"/>
        <v>380.1204121002825</v>
      </c>
    </row>
    <row r="49" spans="4:10" ht="12">
      <c r="D49" s="62" t="s">
        <v>85</v>
      </c>
      <c r="E49" s="170">
        <f ca="1" t="shared" si="0"/>
        <v>3.424725478241832</v>
      </c>
      <c r="F49" s="170">
        <f ca="1" t="shared" si="1"/>
        <v>333.13329065052665</v>
      </c>
      <c r="H49" s="21" t="s">
        <v>64</v>
      </c>
      <c r="I49" s="36">
        <f ca="1" t="shared" si="2"/>
        <v>4.335178900319232</v>
      </c>
      <c r="J49" s="36">
        <f ca="1" t="shared" si="3"/>
        <v>429.20275228659625</v>
      </c>
    </row>
    <row r="50" spans="4:10" ht="12">
      <c r="D50" s="62" t="s">
        <v>36</v>
      </c>
      <c r="E50" s="170">
        <f ca="1" t="shared" si="0"/>
        <v>3.073517496248999</v>
      </c>
      <c r="F50" s="170">
        <f ca="1" t="shared" si="1"/>
        <v>257.22841699973753</v>
      </c>
      <c r="H50" s="21" t="s">
        <v>65</v>
      </c>
      <c r="I50" s="36">
        <f ca="1" t="shared" si="2"/>
        <v>4.228059396773906</v>
      </c>
      <c r="J50" s="36">
        <f ca="1" t="shared" si="3"/>
        <v>363.7281940393019</v>
      </c>
    </row>
    <row r="51" spans="4:6" ht="12">
      <c r="D51" s="62" t="s">
        <v>86</v>
      </c>
      <c r="E51" s="170">
        <f ca="1" t="shared" si="0"/>
        <v>3.158643936008928</v>
      </c>
      <c r="F51" s="170">
        <f ca="1" t="shared" si="1"/>
        <v>306.66783482798303</v>
      </c>
    </row>
    <row r="52" spans="4:6" ht="12">
      <c r="D52" s="62" t="s">
        <v>37</v>
      </c>
      <c r="E52" s="170">
        <f ca="1" t="shared" si="0"/>
        <v>2.9726710833011825</v>
      </c>
      <c r="F52" s="170">
        <f ca="1" t="shared" si="1"/>
        <v>391.6543089117555</v>
      </c>
    </row>
    <row r="53" spans="4:6" ht="12">
      <c r="D53" s="62" t="s">
        <v>87</v>
      </c>
      <c r="E53" s="170">
        <f ca="1" t="shared" si="0"/>
        <v>3.231223030952658</v>
      </c>
      <c r="F53" s="170">
        <f ca="1" t="shared" si="1"/>
        <v>394.72560404016383</v>
      </c>
    </row>
    <row r="54" spans="4:6" ht="12">
      <c r="D54" s="62" t="s">
        <v>38</v>
      </c>
      <c r="E54" s="170">
        <f ca="1" t="shared" si="0"/>
        <v>2.853448865191765</v>
      </c>
      <c r="F54" s="170">
        <f ca="1" t="shared" si="1"/>
        <v>259.54889804864945</v>
      </c>
    </row>
    <row r="55" spans="4:6" ht="12">
      <c r="D55" s="62" t="s">
        <v>42</v>
      </c>
      <c r="E55" s="170">
        <f ca="1" t="shared" si="0"/>
        <v>3.1103992866997814</v>
      </c>
      <c r="F55" s="170">
        <f ca="1" t="shared" si="1"/>
        <v>347.31340789804557</v>
      </c>
    </row>
    <row r="56" spans="4:6" ht="12">
      <c r="D56" s="62" t="s">
        <v>39</v>
      </c>
      <c r="E56" s="170">
        <f ca="1" t="shared" si="0"/>
        <v>2.817160808694436</v>
      </c>
      <c r="F56" s="170">
        <f ca="1" t="shared" si="1"/>
        <v>239.36549673137088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</dc:creator>
  <cp:keywords/>
  <dc:description/>
  <cp:lastModifiedBy>Will</cp:lastModifiedBy>
  <dcterms:created xsi:type="dcterms:W3CDTF">2006-09-18T18:15:32Z</dcterms:created>
  <dcterms:modified xsi:type="dcterms:W3CDTF">2018-04-10T20:36:36Z</dcterms:modified>
  <cp:category/>
  <cp:version/>
  <cp:contentType/>
  <cp:contentStatus/>
</cp:coreProperties>
</file>